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ноутбук\Public\Documents\ДОкументы по ПФДО\Сходимость модели\на 2021\"/>
    </mc:Choice>
  </mc:AlternateContent>
  <xr:revisionPtr revIDLastSave="0" documentId="13_ncr:1_{28B508D7-3F9D-42D2-854E-85E1A117F36B}" xr6:coauthVersionLast="40" xr6:coauthVersionMax="45" xr10:uidLastSave="{00000000-0000-0000-0000-000000000000}"/>
  <bookViews>
    <workbookView xWindow="0" yWindow="0" windowWidth="28800" windowHeight="13620" xr2:uid="{00000000-000D-0000-FFFF-FFFF00000000}"/>
  </bookViews>
  <sheets>
    <sheet name="Параметры ПФ" sheetId="7" r:id="rId1"/>
    <sheet name="Сходимость модели" sheetId="5" r:id="rId2"/>
  </sheets>
  <externalReferences>
    <externalReference r:id="rId3"/>
    <externalReference r:id="rId4"/>
  </externalReferences>
  <definedNames>
    <definedName name="_xlnm._FilterDatabase" localSheetId="1" hidden="1">'Сходимость модели'!$A$1:$N$25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7" l="1"/>
  <c r="I2" i="7" l="1"/>
  <c r="L2" i="7" s="1"/>
  <c r="F3" i="7" l="1"/>
  <c r="H3" i="7" l="1"/>
  <c r="G16" i="7" l="1"/>
  <c r="H16" i="7"/>
  <c r="I16" i="7"/>
  <c r="J16" i="7"/>
  <c r="K16" i="7"/>
  <c r="F16" i="7"/>
  <c r="K15" i="7" l="1"/>
  <c r="J15" i="7"/>
  <c r="I15" i="7"/>
  <c r="H15" i="7"/>
  <c r="G15" i="7"/>
  <c r="F15" i="7"/>
  <c r="K13" i="7"/>
  <c r="J13" i="7"/>
  <c r="I13" i="7"/>
  <c r="H13" i="7"/>
  <c r="G13" i="7"/>
  <c r="F13" i="7"/>
  <c r="K11" i="7"/>
  <c r="K12" i="7" s="1"/>
  <c r="J11" i="7"/>
  <c r="J12" i="7" s="1"/>
  <c r="I11" i="7"/>
  <c r="I12" i="7" s="1"/>
  <c r="H11" i="7"/>
  <c r="H12" i="7" s="1"/>
  <c r="G11" i="7"/>
  <c r="G12" i="7" s="1"/>
  <c r="F11" i="7"/>
  <c r="F12" i="7" s="1"/>
  <c r="K14" i="7"/>
  <c r="J14" i="7"/>
  <c r="I14" i="7"/>
  <c r="H14" i="7"/>
  <c r="G14" i="7"/>
  <c r="F14" i="7"/>
  <c r="F10" i="7" l="1"/>
  <c r="G10" i="7"/>
  <c r="K10" i="7"/>
  <c r="H10" i="7"/>
  <c r="J10" i="7"/>
  <c r="I10" i="7"/>
  <c r="K2" i="7" l="1"/>
  <c r="I5" i="5"/>
  <c r="J5" i="5" s="1"/>
  <c r="I18" i="5"/>
  <c r="J18" i="5" s="1"/>
  <c r="I16" i="5"/>
  <c r="J16" i="5" s="1"/>
  <c r="I20" i="5"/>
  <c r="J20" i="5" s="1"/>
  <c r="J14" i="5"/>
  <c r="I4" i="5"/>
  <c r="J4" i="5" s="1"/>
  <c r="I8" i="5"/>
  <c r="J8" i="5" s="1"/>
  <c r="I11" i="5"/>
  <c r="J11" i="5" s="1"/>
  <c r="I21" i="5"/>
  <c r="J21" i="5" s="1"/>
  <c r="I15" i="5"/>
  <c r="J15" i="5" s="1"/>
  <c r="I9" i="5"/>
  <c r="J9" i="5" s="1"/>
  <c r="I6" i="5"/>
  <c r="J6" i="5" s="1"/>
  <c r="I22" i="5"/>
  <c r="J22" i="5" s="1"/>
  <c r="I3" i="5"/>
  <c r="J3" i="5" s="1"/>
  <c r="I2" i="5"/>
  <c r="J2" i="5" s="1"/>
  <c r="I19" i="5"/>
  <c r="J19" i="5" s="1"/>
  <c r="J13" i="5"/>
  <c r="J12" i="5"/>
  <c r="I10" i="5"/>
  <c r="J10" i="5" s="1"/>
  <c r="I7" i="5"/>
  <c r="J7" i="5" s="1"/>
  <c r="I17" i="5"/>
  <c r="J17" i="5" s="1"/>
  <c r="M15" i="5" l="1"/>
  <c r="M8" i="5"/>
  <c r="M4" i="5"/>
  <c r="M14" i="5"/>
  <c r="M17" i="5"/>
  <c r="M20" i="5"/>
  <c r="M21" i="5"/>
  <c r="M13" i="5"/>
  <c r="M19" i="5"/>
  <c r="M16" i="5"/>
  <c r="M9" i="5"/>
  <c r="M11" i="5"/>
  <c r="M12" i="5"/>
  <c r="M3" i="5"/>
  <c r="M18" i="5"/>
  <c r="M6" i="5"/>
  <c r="M7" i="5"/>
  <c r="M10" i="5"/>
  <c r="M22" i="5"/>
  <c r="M5" i="5"/>
  <c r="L3" i="7"/>
  <c r="G23" i="5"/>
  <c r="K2" i="5" l="1"/>
  <c r="M2" i="5"/>
  <c r="M23" i="5" s="1"/>
  <c r="K18" i="5"/>
  <c r="K5" i="5"/>
  <c r="K7" i="5"/>
  <c r="K15" i="5"/>
  <c r="K17" i="5"/>
  <c r="K9" i="5"/>
  <c r="K6" i="5"/>
  <c r="K16" i="5"/>
  <c r="K3" i="5"/>
  <c r="K22" i="5"/>
  <c r="K20" i="5"/>
  <c r="K12" i="5"/>
  <c r="K11" i="5"/>
  <c r="K10" i="5"/>
  <c r="K21" i="5"/>
  <c r="K19" i="5"/>
  <c r="K4" i="5"/>
  <c r="K14" i="5"/>
  <c r="K13" i="5"/>
  <c r="K8" i="5"/>
  <c r="N4" i="5" l="1"/>
  <c r="P4" i="5" s="1"/>
  <c r="L4" i="5"/>
  <c r="N2" i="5"/>
  <c r="P2" i="5" s="1"/>
  <c r="L2" i="5"/>
  <c r="N13" i="5"/>
  <c r="P13" i="5" s="1"/>
  <c r="L13" i="5"/>
  <c r="N19" i="5"/>
  <c r="P19" i="5" s="1"/>
  <c r="L19" i="5"/>
  <c r="N10" i="5"/>
  <c r="P10" i="5" s="1"/>
  <c r="L10" i="5"/>
  <c r="N12" i="5"/>
  <c r="P12" i="5" s="1"/>
  <c r="L12" i="5"/>
  <c r="N3" i="5"/>
  <c r="P3" i="5" s="1"/>
  <c r="L3" i="5"/>
  <c r="N6" i="5"/>
  <c r="P6" i="5" s="1"/>
  <c r="L6" i="5"/>
  <c r="N17" i="5"/>
  <c r="P17" i="5" s="1"/>
  <c r="L17" i="5"/>
  <c r="N7" i="5"/>
  <c r="P7" i="5" s="1"/>
  <c r="L7" i="5"/>
  <c r="N14" i="5"/>
  <c r="P14" i="5" s="1"/>
  <c r="L14" i="5"/>
  <c r="N20" i="5"/>
  <c r="P20" i="5" s="1"/>
  <c r="L20" i="5"/>
  <c r="N16" i="5"/>
  <c r="P16" i="5" s="1"/>
  <c r="L16" i="5"/>
  <c r="N9" i="5"/>
  <c r="P9" i="5" s="1"/>
  <c r="L9" i="5"/>
  <c r="N15" i="5"/>
  <c r="P15" i="5" s="1"/>
  <c r="L15" i="5"/>
  <c r="N5" i="5"/>
  <c r="P5" i="5" s="1"/>
  <c r="L5" i="5"/>
  <c r="N8" i="5"/>
  <c r="P8" i="5" s="1"/>
  <c r="L8" i="5"/>
  <c r="N11" i="5"/>
  <c r="P11" i="5" s="1"/>
  <c r="L11" i="5"/>
  <c r="N21" i="5"/>
  <c r="P21" i="5" s="1"/>
  <c r="L21" i="5"/>
  <c r="N22" i="5"/>
  <c r="P22" i="5" s="1"/>
  <c r="L22" i="5"/>
  <c r="N18" i="5"/>
  <c r="P18" i="5" s="1"/>
  <c r="L18" i="5"/>
  <c r="L23" i="5" l="1"/>
  <c r="L24" i="5" s="1"/>
  <c r="L25" i="5" s="1"/>
</calcChain>
</file>

<file path=xl/sharedStrings.xml><?xml version="1.0" encoding="utf-8"?>
<sst xmlns="http://schemas.openxmlformats.org/spreadsheetml/2006/main" count="117" uniqueCount="67">
  <si>
    <t>Наименование муниципалитета</t>
  </si>
  <si>
    <t>Организация 2</t>
  </si>
  <si>
    <t>Техническая</t>
  </si>
  <si>
    <t>Естественнонаучная</t>
  </si>
  <si>
    <t>Художественная</t>
  </si>
  <si>
    <t>Туристско-краеведческая</t>
  </si>
  <si>
    <t>Физкультурно-спортивная</t>
  </si>
  <si>
    <t>Количество учебных недель в году</t>
  </si>
  <si>
    <t>Направленность</t>
  </si>
  <si>
    <t>Коэффициент доли работников АУП</t>
  </si>
  <si>
    <t>Минимальное число детей в группе</t>
  </si>
  <si>
    <t>Сумма затрат на повышение квалификации, в день</t>
  </si>
  <si>
    <t>Максимальное число детей в группе</t>
  </si>
  <si>
    <t>Стоимость медосмотра</t>
  </si>
  <si>
    <t>Нормативные затраты на час, всего</t>
  </si>
  <si>
    <t>Затраты на содержание имущества, на час реализации программы</t>
  </si>
  <si>
    <t>Затраты на оплату труда педагогических работников</t>
  </si>
  <si>
    <t>Стоимость комплекта средств обучения, по направленностям</t>
  </si>
  <si>
    <t>Затраты на оплату труда АУП</t>
  </si>
  <si>
    <t>Затраты на повышение квал-ии и медосмотры</t>
  </si>
  <si>
    <t>Затраты на приобретение средств обучения и учебной литературы</t>
  </si>
  <si>
    <t>Затраты на содержание имущества</t>
  </si>
  <si>
    <t>Норматив использования средств обучения в часах в год</t>
  </si>
  <si>
    <t>Стоимость учебного пособия</t>
  </si>
  <si>
    <t>Средняя зарплата по региону (целевой индикатор по Указу)</t>
  </si>
  <si>
    <t>Учреждение</t>
  </si>
  <si>
    <t>Программа</t>
  </si>
  <si>
    <t>Количество мест</t>
  </si>
  <si>
    <t>Норматив затрат по ПФ</t>
  </si>
  <si>
    <t>х</t>
  </si>
  <si>
    <t>Количество учебных часов в неделю</t>
  </si>
  <si>
    <t>Предполагаемая цена за чел/час</t>
  </si>
  <si>
    <r>
      <t>Среднее число учащихся на педагога Q</t>
    </r>
    <r>
      <rPr>
        <vertAlign val="subscript"/>
        <sz val="12"/>
        <color theme="1"/>
        <rFont val="Calibri"/>
        <family val="2"/>
        <charset val="204"/>
        <scheme val="minor"/>
      </rPr>
      <t>сред</t>
    </r>
  </si>
  <si>
    <r>
      <t>Средняя норма часов в год на одного ребенка V</t>
    </r>
    <r>
      <rPr>
        <vertAlign val="subscript"/>
        <sz val="12"/>
        <color theme="1"/>
        <rFont val="Calibri"/>
        <family val="2"/>
        <charset val="204"/>
        <scheme val="minor"/>
      </rPr>
      <t>час</t>
    </r>
  </si>
  <si>
    <t>Выделенный объем финансового обеспечения, рублей</t>
  </si>
  <si>
    <t>Номинал сертификата, рублей</t>
  </si>
  <si>
    <t>ДОХОД учреждения по ПФ ДОД</t>
  </si>
  <si>
    <t>Требуется дополнительно выделить</t>
  </si>
  <si>
    <t>Количество часов программы, предположительно покрываемое сертификатом</t>
  </si>
  <si>
    <t>Требуемый объем финансового обеспечения, рублей</t>
  </si>
  <si>
    <t>Установленный охват общий, %</t>
  </si>
  <si>
    <t>Число сертификатов общее</t>
  </si>
  <si>
    <t>Справочно число педчасов на указную зарплату при установленных параметрах</t>
  </si>
  <si>
    <t>Численность детей от 5 до 18 лет, всего</t>
  </si>
  <si>
    <t>Социально-гуманитарная</t>
  </si>
  <si>
    <t>Прогноз неиспользуемого остатка ПФ ДОД</t>
  </si>
  <si>
    <t>Допустимые занчения 2-15%</t>
  </si>
  <si>
    <t>Веселый карандаш</t>
  </si>
  <si>
    <t>Фактическое число сертификатов с определенным номиналом</t>
  </si>
  <si>
    <t>Объем муниципального задания ПФДОД, человеко-часов</t>
  </si>
  <si>
    <t>Установленный охват ПФ ДОД</t>
  </si>
  <si>
    <t>Количество учебных недель в периоде обучения</t>
  </si>
  <si>
    <t>Стоимость 1 места в периоде обучения</t>
  </si>
  <si>
    <t>Оплата 1 места в периоде обучения сертификатом</t>
  </si>
  <si>
    <t>Доплата со стороны родителей за 1 место в периоде обучения</t>
  </si>
  <si>
    <t>МР Кораблинский</t>
  </si>
  <si>
    <t>Объединение "Калейдоскоп"</t>
  </si>
  <si>
    <t>Театральная студия "Арлекино"</t>
  </si>
  <si>
    <t>Художественная роспись</t>
  </si>
  <si>
    <t>Хореографический ансамбль "Надежда"</t>
  </si>
  <si>
    <t>Мягкая игрушка</t>
  </si>
  <si>
    <t>Бокс</t>
  </si>
  <si>
    <t>Шахматы, шашки</t>
  </si>
  <si>
    <t>МБУ ДО Кораблинская ДЮСШ</t>
  </si>
  <si>
    <t>Легкая атлетика</t>
  </si>
  <si>
    <t>МБУ ДО Кораблинский РДДТ</t>
  </si>
  <si>
    <t>"Мульти-Лэнд"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</si>
</sst>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#,##0\ &quot;₽&quot;"/>
    <numFmt numFmtId="166" formatCode="0.00_ ;[Red]\-0.00\ "/>
  </numFmts>
  <fonts count="21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rgb="FF000000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bscript"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Cyr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theme="0" tint="-0.34998626667073579"/>
      <name val="Calibri"/>
      <family val="2"/>
      <charset val="204"/>
      <scheme val="minor"/>
    </font>
    <font>
      <sz val="10"/>
      <color theme="0" tint="-0.3499862666707357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7" fillId="0" borderId="0"/>
  </cellStyleXfs>
  <cellXfs count="79">
    <xf numFmtId="0" fontId="0" fillId="0" borderId="0" xfId="0"/>
    <xf numFmtId="2" fontId="0" fillId="0" borderId="0" xfId="0" applyNumberFormat="1" applyAlignment="1">
      <alignment horizontal="center" wrapText="1"/>
    </xf>
    <xf numFmtId="3" fontId="0" fillId="2" borderId="0" xfId="0" applyNumberFormat="1" applyFill="1" applyAlignment="1" applyProtection="1">
      <alignment horizontal="center" wrapText="1"/>
      <protection locked="0"/>
    </xf>
    <xf numFmtId="3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3" fontId="0" fillId="0" borderId="0" xfId="0" applyNumberFormat="1" applyAlignment="1" applyProtection="1">
      <alignment horizontal="center" wrapText="1"/>
      <protection locked="0"/>
    </xf>
    <xf numFmtId="165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left" wrapText="1"/>
    </xf>
    <xf numFmtId="164" fontId="0" fillId="0" borderId="0" xfId="0" applyNumberFormat="1" applyAlignment="1">
      <alignment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4" borderId="1" xfId="0" applyFill="1" applyBorder="1" applyProtection="1">
      <protection locked="0"/>
    </xf>
    <xf numFmtId="43" fontId="0" fillId="0" borderId="1" xfId="1" applyFont="1" applyBorder="1" applyAlignment="1">
      <alignment wrapText="1"/>
    </xf>
    <xf numFmtId="43" fontId="0" fillId="0" borderId="1" xfId="0" applyNumberFormat="1" applyBorder="1"/>
    <xf numFmtId="1" fontId="7" fillId="0" borderId="1" xfId="0" applyNumberFormat="1" applyFont="1" applyBorder="1" applyAlignment="1" applyProtection="1">
      <alignment horizontal="center"/>
      <protection locked="0"/>
    </xf>
    <xf numFmtId="43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43" fontId="0" fillId="0" borderId="0" xfId="1" applyFont="1" applyAlignment="1">
      <alignment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43" fontId="0" fillId="0" borderId="0" xfId="1" applyFont="1" applyProtection="1">
      <protection locked="0"/>
    </xf>
    <xf numFmtId="0" fontId="7" fillId="3" borderId="0" xfId="0" applyFont="1" applyFill="1" applyAlignment="1">
      <alignment horizontal="left" wrapText="1"/>
    </xf>
    <xf numFmtId="164" fontId="7" fillId="3" borderId="0" xfId="0" applyNumberFormat="1" applyFont="1" applyFill="1" applyAlignment="1">
      <alignment wrapText="1"/>
    </xf>
    <xf numFmtId="0" fontId="4" fillId="0" borderId="1" xfId="0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43" fontId="4" fillId="0" borderId="1" xfId="1" applyFont="1" applyBorder="1" applyAlignment="1" applyProtection="1">
      <alignment horizontal="center" vertical="center" wrapText="1"/>
      <protection locked="0"/>
    </xf>
    <xf numFmtId="43" fontId="4" fillId="0" borderId="1" xfId="1" applyFont="1" applyBorder="1" applyAlignment="1">
      <alignment horizontal="center" vertical="center" wrapText="1"/>
    </xf>
    <xf numFmtId="1" fontId="9" fillId="0" borderId="0" xfId="0" applyNumberFormat="1" applyFont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43" fontId="0" fillId="4" borderId="1" xfId="1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0" fontId="0" fillId="0" borderId="0" xfId="0" applyAlignment="1">
      <alignment wrapText="1"/>
    </xf>
    <xf numFmtId="9" fontId="0" fillId="0" borderId="0" xfId="2" applyFont="1" applyAlignment="1">
      <alignment horizontal="center" wrapText="1"/>
    </xf>
    <xf numFmtId="0" fontId="0" fillId="0" borderId="0" xfId="0" applyAlignment="1">
      <alignment wrapText="1"/>
    </xf>
    <xf numFmtId="4" fontId="0" fillId="2" borderId="0" xfId="0" applyNumberFormat="1" applyFill="1" applyAlignment="1" applyProtection="1">
      <alignment horizontal="center" wrapText="1"/>
      <protection locked="0"/>
    </xf>
    <xf numFmtId="164" fontId="0" fillId="3" borderId="0" xfId="0" applyNumberFormat="1" applyFill="1" applyAlignment="1">
      <alignment wrapText="1"/>
    </xf>
    <xf numFmtId="44" fontId="3" fillId="0" borderId="0" xfId="3" applyFont="1" applyAlignment="1">
      <alignment vertical="center" wrapText="1"/>
    </xf>
    <xf numFmtId="43" fontId="0" fillId="0" borderId="0" xfId="1" applyNumberFormat="1" applyFont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/>
    <xf numFmtId="43" fontId="14" fillId="0" borderId="1" xfId="1" applyFont="1" applyBorder="1" applyAlignment="1">
      <alignment horizontal="center" vertical="center" wrapText="1"/>
    </xf>
    <xf numFmtId="43" fontId="15" fillId="0" borderId="1" xfId="0" applyNumberFormat="1" applyFont="1" applyBorder="1"/>
    <xf numFmtId="0" fontId="14" fillId="0" borderId="1" xfId="0" applyFont="1" applyBorder="1" applyAlignment="1" applyProtection="1">
      <alignment horizontal="center"/>
      <protection locked="0"/>
    </xf>
    <xf numFmtId="0" fontId="15" fillId="0" borderId="0" xfId="0" applyFont="1"/>
    <xf numFmtId="43" fontId="16" fillId="0" borderId="1" xfId="1" applyFont="1" applyBorder="1" applyAlignment="1">
      <alignment horizontal="center" vertical="center" wrapText="1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3" fillId="2" borderId="0" xfId="2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3" fontId="0" fillId="0" borderId="0" xfId="0" applyNumberFormat="1" applyFont="1" applyFill="1" applyAlignment="1" applyProtection="1">
      <alignment horizontal="center" vertical="center" wrapText="1"/>
      <protection locked="0"/>
    </xf>
    <xf numFmtId="44" fontId="3" fillId="0" borderId="0" xfId="3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44" fontId="3" fillId="0" borderId="0" xfId="3" applyFont="1" applyFill="1" applyAlignment="1">
      <alignment horizontal="center" vertical="center" wrapText="1"/>
    </xf>
    <xf numFmtId="166" fontId="0" fillId="0" borderId="0" xfId="0" applyNumberFormat="1" applyFont="1" applyAlignment="1">
      <alignment horizontal="center" vertical="top" wrapText="1"/>
    </xf>
    <xf numFmtId="3" fontId="0" fillId="2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44" fontId="18" fillId="0" borderId="0" xfId="3" applyFont="1" applyAlignment="1">
      <alignment horizontal="center" vertical="center" wrapText="1"/>
    </xf>
    <xf numFmtId="3" fontId="0" fillId="2" borderId="0" xfId="0" applyNumberFormat="1" applyFill="1" applyAlignment="1" applyProtection="1">
      <alignment horizontal="center" vertical="center" wrapText="1"/>
      <protection locked="0"/>
    </xf>
    <xf numFmtId="1" fontId="0" fillId="2" borderId="0" xfId="0" applyNumberFormat="1" applyFill="1" applyAlignment="1" applyProtection="1">
      <alignment horizontal="center" vertical="center" wrapText="1"/>
      <protection locked="0"/>
    </xf>
    <xf numFmtId="0" fontId="19" fillId="0" borderId="0" xfId="0" applyFont="1" applyAlignment="1">
      <alignment wrapText="1"/>
    </xf>
    <xf numFmtId="41" fontId="0" fillId="0" borderId="1" xfId="1" applyNumberFormat="1" applyFont="1" applyBorder="1" applyAlignment="1">
      <alignment wrapText="1"/>
    </xf>
    <xf numFmtId="43" fontId="7" fillId="0" borderId="1" xfId="1" applyFont="1" applyBorder="1" applyAlignment="1">
      <alignment wrapText="1"/>
    </xf>
    <xf numFmtId="41" fontId="7" fillId="0" borderId="1" xfId="1" applyNumberFormat="1" applyFont="1" applyBorder="1" applyAlignment="1">
      <alignment wrapText="1"/>
    </xf>
    <xf numFmtId="9" fontId="0" fillId="0" borderId="0" xfId="0" applyNumberFormat="1" applyFont="1" applyFill="1" applyAlignment="1" applyProtection="1">
      <alignment horizontal="center" vertical="center" wrapText="1"/>
      <protection locked="0"/>
    </xf>
    <xf numFmtId="10" fontId="3" fillId="0" borderId="0" xfId="2" applyNumberFormat="1" applyFont="1" applyFill="1" applyAlignment="1">
      <alignment horizontal="center" vertical="center" wrapText="1"/>
    </xf>
    <xf numFmtId="4" fontId="0" fillId="0" borderId="0" xfId="0" applyNumberFormat="1" applyAlignment="1" applyProtection="1">
      <alignment horizontal="center" wrapText="1"/>
      <protection locked="0"/>
    </xf>
    <xf numFmtId="44" fontId="0" fillId="0" borderId="0" xfId="3" applyFont="1" applyAlignment="1">
      <alignment vertical="center" wrapText="1"/>
    </xf>
    <xf numFmtId="3" fontId="18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166" fontId="0" fillId="0" borderId="0" xfId="0" applyNumberFormat="1" applyFont="1" applyAlignment="1">
      <alignment horizontal="center" vertical="top" wrapText="1"/>
    </xf>
    <xf numFmtId="0" fontId="0" fillId="0" borderId="0" xfId="0" applyFill="1" applyAlignment="1">
      <alignment horizontal="center" wrapText="1"/>
    </xf>
    <xf numFmtId="3" fontId="0" fillId="3" borderId="0" xfId="0" applyNumberFormat="1" applyFont="1" applyFill="1" applyAlignment="1" applyProtection="1">
      <alignment horizontal="center" vertical="center" wrapText="1"/>
      <protection locked="0"/>
    </xf>
    <xf numFmtId="4" fontId="0" fillId="6" borderId="0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7" fillId="5" borderId="0" xfId="0" applyFont="1" applyFill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49" fontId="10" fillId="0" borderId="0" xfId="1" applyNumberFormat="1" applyFont="1" applyAlignment="1">
      <alignment horizontal="center" wrapText="1"/>
    </xf>
    <xf numFmtId="43" fontId="20" fillId="0" borderId="0" xfId="1" applyFont="1" applyAlignment="1">
      <alignment horizontal="center" wrapText="1"/>
    </xf>
  </cellXfs>
  <cellStyles count="6">
    <cellStyle name="Денежный" xfId="3" builtinId="4"/>
    <cellStyle name="Обычный" xfId="0" builtinId="0"/>
    <cellStyle name="Обычный 2" xfId="4" xr:uid="{467E886B-6982-4339-B462-6DFEC323C49E}"/>
    <cellStyle name="Обычный 2 2" xfId="5" xr:uid="{BB7AA716-96C3-455F-B13E-F1B78BBEDFB5}"/>
    <cellStyle name="Процентный" xfId="2" builtinId="5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16</xdr:row>
      <xdr:rowOff>228600</xdr:rowOff>
    </xdr:from>
    <xdr:to>
      <xdr:col>2</xdr:col>
      <xdr:colOff>0</xdr:colOff>
      <xdr:row>17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7A369C3-979C-42EB-AADB-BD397BB1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075" y="6057900"/>
          <a:ext cx="644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15</xdr:row>
      <xdr:rowOff>203200</xdr:rowOff>
    </xdr:from>
    <xdr:to>
      <xdr:col>1</xdr:col>
      <xdr:colOff>571500</xdr:colOff>
      <xdr:row>15</xdr:row>
      <xdr:rowOff>431800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473EE33-51BE-4392-82AE-06E797A1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675" y="5461000"/>
          <a:ext cx="355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139700</xdr:colOff>
      <xdr:row>8</xdr:row>
      <xdr:rowOff>187325</xdr:rowOff>
    </xdr:from>
    <xdr:to>
      <xdr:col>1</xdr:col>
      <xdr:colOff>342900</xdr:colOff>
      <xdr:row>8</xdr:row>
      <xdr:rowOff>390525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F6CF181-6D05-49C8-9994-C96036D1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475" y="2873375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228600</xdr:colOff>
      <xdr:row>4</xdr:row>
      <xdr:rowOff>114300</xdr:rowOff>
    </xdr:from>
    <xdr:to>
      <xdr:col>1</xdr:col>
      <xdr:colOff>609600</xdr:colOff>
      <xdr:row>4</xdr:row>
      <xdr:rowOff>317500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F1BC02B-FDAC-4CBE-8535-7CBDA0BD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81075"/>
          <a:ext cx="3810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7</xdr:row>
      <xdr:rowOff>241300</xdr:rowOff>
    </xdr:from>
    <xdr:to>
      <xdr:col>1</xdr:col>
      <xdr:colOff>571500</xdr:colOff>
      <xdr:row>7</xdr:row>
      <xdr:rowOff>469900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AD841365-9AE7-4126-A433-46A0E458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675" y="2327275"/>
          <a:ext cx="355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5</xdr:row>
      <xdr:rowOff>215900</xdr:rowOff>
    </xdr:from>
    <xdr:to>
      <xdr:col>1</xdr:col>
      <xdr:colOff>596900</xdr:colOff>
      <xdr:row>5</xdr:row>
      <xdr:rowOff>431800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5E699FB-6EC5-4ADB-A6DB-23F36025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2975" y="1520825"/>
          <a:ext cx="393700" cy="16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6</xdr:row>
      <xdr:rowOff>139700</xdr:rowOff>
    </xdr:from>
    <xdr:to>
      <xdr:col>1</xdr:col>
      <xdr:colOff>584200</xdr:colOff>
      <xdr:row>6</xdr:row>
      <xdr:rowOff>393700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8257F9ED-D908-47A3-8D2F-52AF2ECB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2975" y="1825625"/>
          <a:ext cx="381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3;&#1072;&#1074;&#1080;&#1075;&#1072;&#1090;&#1086;&#1088;&#1099;\&#1052;&#1045;&#1058;&#1054;&#1044;\&#1057;&#1093;&#1086;&#1076;&#1080;&#1084;&#1086;&#1089;&#1090;&#1100;%20&#1084;&#1086;&#1076;&#1077;&#1083;&#1080;%20&#1055;&#1060;%20&#1087;&#1088;&#1080;%20&#1086;&#1087;&#1088;&#1077;&#1076;&#1077;&#1083;&#1077;&#1085;&#1085;&#1086;&#1084;%20&#1086;&#1073;&#1098;&#1077;&#1084;&#1077;%20&#1092;&#1080;&#1085;&#1072;&#1085;&#1089;&#1080;&#1088;&#1086;&#1074;&#1072;&#1085;&#1080;&#1103;%20(2&#1081;%20&#1075;&#1086;&#107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lexkostin\Library\Containers\com.microsoft.Excel\Data\Documents\F:\&#1053;&#1072;&#1074;&#1080;&#1075;&#1072;&#1090;&#1086;&#1088;&#1099;\&#1056;&#1045;&#1043;&#1048;&#1054;&#1053;&#1067;\&#1052;&#1086;&#1089;&#1082;&#1074;&#1072;\19.%20&#1057;&#1093;&#1086;&#1076;&#1080;&#1084;&#1086;&#1089;&#1090;&#1100;%20&#1084;&#1086;&#1076;&#1077;&#1083;&#1080;%20&#1055;&#1060;%20&#1044;&#1054;&#1044;%20&#1052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ормативных затрат"/>
      <sheetName val="Сходимость модели"/>
    </sheetNames>
    <sheetDataSet>
      <sheetData sheetId="0">
        <row r="2">
          <cell r="J2">
            <v>12000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workbookViewId="0">
      <selection activeCell="L2" sqref="L2"/>
    </sheetView>
  </sheetViews>
  <sheetFormatPr defaultColWidth="10.875" defaultRowHeight="15.75" x14ac:dyDescent="0.25"/>
  <cols>
    <col min="1" max="1" width="26.375" style="32" customWidth="1"/>
    <col min="2" max="2" width="11.625" style="32" customWidth="1"/>
    <col min="3" max="3" width="13.375" style="32" customWidth="1"/>
    <col min="4" max="4" width="3.5" style="32" customWidth="1"/>
    <col min="5" max="5" width="31.125" style="32" customWidth="1"/>
    <col min="6" max="6" width="12.375" style="32" bestFit="1" customWidth="1"/>
    <col min="7" max="7" width="13.125" style="32" customWidth="1"/>
    <col min="8" max="9" width="13.125" style="34" customWidth="1"/>
    <col min="10" max="10" width="14.375" style="32" customWidth="1"/>
    <col min="11" max="11" width="14.625" style="32" customWidth="1"/>
    <col min="12" max="12" width="14.5" style="32" bestFit="1" customWidth="1"/>
    <col min="13" max="13" width="28.375" style="32" customWidth="1"/>
    <col min="14" max="14" width="3.625" style="32" customWidth="1"/>
    <col min="15" max="16384" width="10.875" style="32"/>
  </cols>
  <sheetData>
    <row r="1" spans="1:15" ht="78" customHeight="1" x14ac:dyDescent="0.25">
      <c r="A1" s="74" t="s">
        <v>0</v>
      </c>
      <c r="B1" s="74"/>
      <c r="C1" s="69" t="s">
        <v>34</v>
      </c>
      <c r="D1" s="69"/>
      <c r="E1" s="53" t="s">
        <v>43</v>
      </c>
      <c r="F1" s="53" t="s">
        <v>40</v>
      </c>
      <c r="G1" s="53" t="s">
        <v>41</v>
      </c>
      <c r="H1" s="69" t="s">
        <v>50</v>
      </c>
      <c r="I1" s="69"/>
      <c r="J1" s="53" t="s">
        <v>48</v>
      </c>
      <c r="K1" s="51" t="s">
        <v>35</v>
      </c>
      <c r="L1" s="48" t="s">
        <v>39</v>
      </c>
      <c r="N1" s="51"/>
    </row>
    <row r="2" spans="1:15" s="34" customFormat="1" ht="35.1" customHeight="1" x14ac:dyDescent="0.25">
      <c r="A2" s="75" t="s">
        <v>55</v>
      </c>
      <c r="B2" s="75"/>
      <c r="C2" s="72">
        <v>5577530</v>
      </c>
      <c r="D2" s="72"/>
      <c r="E2" s="54">
        <v>2906</v>
      </c>
      <c r="F2" s="63">
        <v>0.75</v>
      </c>
      <c r="G2" s="54">
        <v>2180</v>
      </c>
      <c r="H2" s="64">
        <v>0.2515</v>
      </c>
      <c r="I2" s="49">
        <f>ROUNDUP(E2*H2,0)</f>
        <v>731</v>
      </c>
      <c r="J2" s="49">
        <f>ROUNDUP(C2/K2,0)</f>
        <v>731</v>
      </c>
      <c r="K2" s="37">
        <f>ROUNDUP(MAX(F10:K10)*E3,-1)</f>
        <v>7630</v>
      </c>
      <c r="L2" s="66">
        <f>I2*K2</f>
        <v>5577530</v>
      </c>
      <c r="N2" s="52"/>
    </row>
    <row r="3" spans="1:15" s="34" customFormat="1" ht="50.45" customHeight="1" x14ac:dyDescent="0.25">
      <c r="A3" s="46"/>
      <c r="B3" s="71" t="s">
        <v>38</v>
      </c>
      <c r="C3" s="71"/>
      <c r="D3" s="71"/>
      <c r="E3" s="47">
        <v>144</v>
      </c>
      <c r="F3" s="67" t="str">
        <f>IF(G2&lt;F2*E2,"Охват недостаточен"," ")</f>
        <v xml:space="preserve"> </v>
      </c>
      <c r="G3" s="67"/>
      <c r="H3" s="67" t="str">
        <f>IF(I2&lt;H2*E2,"Охват недостаточен"," ")</f>
        <v xml:space="preserve"> </v>
      </c>
      <c r="I3" s="67"/>
      <c r="J3" s="70" t="s">
        <v>37</v>
      </c>
      <c r="K3" s="70"/>
      <c r="L3" s="56" t="str">
        <f>IF(C2&lt;L2,L2-C2,"не требуется")</f>
        <v>не требуется</v>
      </c>
      <c r="M3" s="52"/>
      <c r="N3" s="52"/>
      <c r="O3" s="50"/>
    </row>
    <row r="4" spans="1:15" ht="33.75" customHeight="1" x14ac:dyDescent="0.25">
      <c r="A4" s="73" t="s">
        <v>24</v>
      </c>
      <c r="B4" s="73"/>
      <c r="C4" s="65">
        <v>31755.4</v>
      </c>
      <c r="D4" s="5"/>
      <c r="F4" s="68"/>
      <c r="G4" s="68"/>
      <c r="H4" s="68"/>
      <c r="I4" s="68"/>
      <c r="J4" s="68"/>
      <c r="K4" s="68"/>
      <c r="L4" s="55"/>
      <c r="M4" s="55"/>
      <c r="N4" s="55"/>
      <c r="O4" s="55"/>
    </row>
    <row r="5" spans="1:15" ht="46.15" customHeight="1" x14ac:dyDescent="0.25">
      <c r="A5" s="4" t="s">
        <v>9</v>
      </c>
      <c r="B5"/>
      <c r="C5" s="35">
        <v>0.12</v>
      </c>
      <c r="D5" s="1"/>
      <c r="E5" s="6" t="s">
        <v>8</v>
      </c>
      <c r="F5" s="31" t="s">
        <v>2</v>
      </c>
      <c r="G5" s="31" t="s">
        <v>3</v>
      </c>
      <c r="H5" s="31" t="s">
        <v>4</v>
      </c>
      <c r="I5" s="31" t="s">
        <v>5</v>
      </c>
      <c r="J5" s="31" t="s">
        <v>6</v>
      </c>
      <c r="K5" s="31" t="s">
        <v>44</v>
      </c>
    </row>
    <row r="6" spans="1:15" ht="30" customHeight="1" x14ac:dyDescent="0.35">
      <c r="A6" s="4" t="s">
        <v>11</v>
      </c>
      <c r="B6"/>
      <c r="C6" s="2">
        <v>200</v>
      </c>
      <c r="D6" s="1"/>
      <c r="E6" s="4" t="s">
        <v>32</v>
      </c>
      <c r="F6" s="57">
        <v>75</v>
      </c>
      <c r="G6" s="57">
        <v>75</v>
      </c>
      <c r="H6" s="57">
        <v>75</v>
      </c>
      <c r="I6" s="57">
        <v>75</v>
      </c>
      <c r="J6" s="57">
        <v>75</v>
      </c>
      <c r="K6" s="57">
        <v>75</v>
      </c>
    </row>
    <row r="7" spans="1:15" ht="34.5" x14ac:dyDescent="0.35">
      <c r="A7" s="4" t="s">
        <v>13</v>
      </c>
      <c r="B7"/>
      <c r="C7" s="2">
        <v>1000</v>
      </c>
      <c r="D7" s="1"/>
      <c r="E7" s="4" t="s">
        <v>33</v>
      </c>
      <c r="F7" s="57">
        <v>144</v>
      </c>
      <c r="G7" s="57">
        <v>144</v>
      </c>
      <c r="H7" s="57">
        <v>144</v>
      </c>
      <c r="I7" s="57">
        <v>144</v>
      </c>
      <c r="J7" s="57">
        <v>144</v>
      </c>
      <c r="K7" s="57">
        <v>144</v>
      </c>
      <c r="M7" s="34"/>
      <c r="N7" s="34"/>
    </row>
    <row r="8" spans="1:15" ht="47.25" x14ac:dyDescent="0.25">
      <c r="A8" s="4" t="s">
        <v>15</v>
      </c>
      <c r="B8"/>
      <c r="C8" s="35">
        <v>1</v>
      </c>
      <c r="E8" s="7" t="s">
        <v>10</v>
      </c>
      <c r="F8" s="58">
        <v>10</v>
      </c>
      <c r="G8" s="58">
        <v>10</v>
      </c>
      <c r="H8" s="58">
        <v>10</v>
      </c>
      <c r="I8" s="58">
        <v>10</v>
      </c>
      <c r="J8" s="58">
        <v>10</v>
      </c>
      <c r="K8" s="58">
        <v>10</v>
      </c>
      <c r="M8" s="34"/>
      <c r="N8" s="34"/>
    </row>
    <row r="9" spans="1:15" ht="45" customHeight="1" x14ac:dyDescent="0.25">
      <c r="A9" s="4" t="s">
        <v>17</v>
      </c>
      <c r="B9"/>
      <c r="C9" s="3"/>
      <c r="E9" s="7" t="s">
        <v>12</v>
      </c>
      <c r="F9" s="58">
        <v>15</v>
      </c>
      <c r="G9" s="58">
        <v>15</v>
      </c>
      <c r="H9" s="58">
        <v>15</v>
      </c>
      <c r="I9" s="58">
        <v>15</v>
      </c>
      <c r="J9" s="58">
        <v>15</v>
      </c>
      <c r="K9" s="58">
        <v>15</v>
      </c>
      <c r="M9" s="34"/>
      <c r="N9" s="34"/>
    </row>
    <row r="10" spans="1:15" ht="31.9" customHeight="1" x14ac:dyDescent="0.25">
      <c r="A10" s="9" t="s">
        <v>2</v>
      </c>
      <c r="B10" s="4"/>
      <c r="C10" s="2">
        <v>19000</v>
      </c>
      <c r="E10" s="21" t="s">
        <v>14</v>
      </c>
      <c r="F10" s="22">
        <f>SUM(F11:F15)</f>
        <v>52.98</v>
      </c>
      <c r="G10" s="22">
        <f t="shared" ref="G10:K10" si="0">SUM(G11:G15)</f>
        <v>52.95</v>
      </c>
      <c r="H10" s="22">
        <f t="shared" si="0"/>
        <v>52.94</v>
      </c>
      <c r="I10" s="22">
        <f t="shared" si="0"/>
        <v>52.94</v>
      </c>
      <c r="J10" s="22">
        <f t="shared" si="0"/>
        <v>52.94</v>
      </c>
      <c r="K10" s="22">
        <f t="shared" si="0"/>
        <v>52.91</v>
      </c>
      <c r="M10" s="34"/>
      <c r="N10" s="34"/>
    </row>
    <row r="11" spans="1:15" ht="31.5" x14ac:dyDescent="0.25">
      <c r="A11" s="9" t="s">
        <v>3</v>
      </c>
      <c r="B11" s="4"/>
      <c r="C11" s="2">
        <v>17500</v>
      </c>
      <c r="E11" s="4" t="s">
        <v>16</v>
      </c>
      <c r="F11" s="8">
        <f t="shared" ref="F11:K11" si="1">$C$4*12*1.302/F6/F7</f>
        <v>45.94</v>
      </c>
      <c r="G11" s="8">
        <f t="shared" si="1"/>
        <v>45.94</v>
      </c>
      <c r="H11" s="8">
        <f t="shared" si="1"/>
        <v>45.94</v>
      </c>
      <c r="I11" s="8">
        <f t="shared" si="1"/>
        <v>45.94</v>
      </c>
      <c r="J11" s="8">
        <f t="shared" si="1"/>
        <v>45.94</v>
      </c>
      <c r="K11" s="8">
        <f t="shared" si="1"/>
        <v>45.94</v>
      </c>
      <c r="M11" s="34"/>
      <c r="N11" s="34"/>
    </row>
    <row r="12" spans="1:15" x14ac:dyDescent="0.25">
      <c r="A12" s="9" t="s">
        <v>4</v>
      </c>
      <c r="B12" s="4"/>
      <c r="C12" s="2">
        <v>17000</v>
      </c>
      <c r="E12" s="4" t="s">
        <v>18</v>
      </c>
      <c r="F12" s="8">
        <f t="shared" ref="F12:K12" si="2">F11*$C$5</f>
        <v>5.51</v>
      </c>
      <c r="G12" s="8">
        <f t="shared" si="2"/>
        <v>5.51</v>
      </c>
      <c r="H12" s="8">
        <f t="shared" si="2"/>
        <v>5.51</v>
      </c>
      <c r="I12" s="8">
        <f t="shared" si="2"/>
        <v>5.51</v>
      </c>
      <c r="J12" s="8">
        <f t="shared" si="2"/>
        <v>5.51</v>
      </c>
      <c r="K12" s="8">
        <f t="shared" si="2"/>
        <v>5.51</v>
      </c>
      <c r="M12" s="34"/>
      <c r="N12" s="34"/>
    </row>
    <row r="13" spans="1:15" ht="31.5" x14ac:dyDescent="0.25">
      <c r="A13" s="9" t="s">
        <v>5</v>
      </c>
      <c r="B13" s="4"/>
      <c r="C13" s="2">
        <v>16500</v>
      </c>
      <c r="E13" s="4" t="s">
        <v>19</v>
      </c>
      <c r="F13" s="36">
        <f>($C$6*14)/3/F6/F7+$C$7/F6/F7</f>
        <v>0.18</v>
      </c>
      <c r="G13" s="36">
        <f t="shared" ref="G13:K13" si="3">($C$6*14)/3/G6/G7+$C$7/G6/G7</f>
        <v>0.18</v>
      </c>
      <c r="H13" s="36">
        <f t="shared" si="3"/>
        <v>0.18</v>
      </c>
      <c r="I13" s="36">
        <f t="shared" si="3"/>
        <v>0.18</v>
      </c>
      <c r="J13" s="36">
        <f t="shared" si="3"/>
        <v>0.18</v>
      </c>
      <c r="K13" s="36">
        <f t="shared" si="3"/>
        <v>0.18</v>
      </c>
      <c r="M13" s="34"/>
      <c r="N13" s="34"/>
    </row>
    <row r="14" spans="1:15" ht="31.5" x14ac:dyDescent="0.25">
      <c r="A14" s="9" t="s">
        <v>6</v>
      </c>
      <c r="B14" s="4"/>
      <c r="C14" s="2">
        <v>16500</v>
      </c>
      <c r="E14" s="4" t="s">
        <v>20</v>
      </c>
      <c r="F14" s="8">
        <f t="shared" ref="F14:K14" si="4">((VLOOKUP(F5,$A$10:$C$15,3,FALSE))/7/$C$16/(AVERAGE(F8,F9)))+(($C$17*0.5)/5/$C$16)</f>
        <v>0.35</v>
      </c>
      <c r="G14" s="8">
        <f t="shared" si="4"/>
        <v>0.32</v>
      </c>
      <c r="H14" s="8">
        <f t="shared" si="4"/>
        <v>0.31</v>
      </c>
      <c r="I14" s="8">
        <f t="shared" si="4"/>
        <v>0.31</v>
      </c>
      <c r="J14" s="8">
        <f t="shared" si="4"/>
        <v>0.31</v>
      </c>
      <c r="K14" s="8">
        <f t="shared" si="4"/>
        <v>0.28000000000000003</v>
      </c>
    </row>
    <row r="15" spans="1:15" ht="31.5" x14ac:dyDescent="0.25">
      <c r="A15" s="31" t="s">
        <v>44</v>
      </c>
      <c r="C15" s="2">
        <v>15000</v>
      </c>
      <c r="E15" s="4" t="s">
        <v>21</v>
      </c>
      <c r="F15" s="8">
        <f t="shared" ref="F15:K15" si="5">$C$8</f>
        <v>1</v>
      </c>
      <c r="G15" s="8">
        <f t="shared" si="5"/>
        <v>1</v>
      </c>
      <c r="H15" s="8">
        <f t="shared" si="5"/>
        <v>1</v>
      </c>
      <c r="I15" s="8">
        <f t="shared" si="5"/>
        <v>1</v>
      </c>
      <c r="J15" s="8">
        <f t="shared" si="5"/>
        <v>1</v>
      </c>
      <c r="K15" s="8">
        <f t="shared" si="5"/>
        <v>1</v>
      </c>
    </row>
    <row r="16" spans="1:15" ht="47.25" x14ac:dyDescent="0.25">
      <c r="A16" s="32" t="s">
        <v>22</v>
      </c>
      <c r="B16"/>
      <c r="C16" s="2">
        <v>700</v>
      </c>
      <c r="E16" s="59" t="s">
        <v>42</v>
      </c>
      <c r="F16" s="59">
        <f>F6/(F8+F9)*2*(F7/36)</f>
        <v>24</v>
      </c>
      <c r="G16" s="59">
        <f t="shared" ref="G16:K16" si="6">G6/(G8+G9)*2*(G7/36)</f>
        <v>24</v>
      </c>
      <c r="H16" s="59">
        <f t="shared" si="6"/>
        <v>24</v>
      </c>
      <c r="I16" s="59">
        <f t="shared" si="6"/>
        <v>24</v>
      </c>
      <c r="J16" s="59">
        <f t="shared" si="6"/>
        <v>24</v>
      </c>
      <c r="K16" s="59">
        <f t="shared" si="6"/>
        <v>24</v>
      </c>
    </row>
    <row r="17" spans="1:11" x14ac:dyDescent="0.25">
      <c r="A17" s="32" t="s">
        <v>23</v>
      </c>
      <c r="B17"/>
      <c r="C17" s="35">
        <v>251.5</v>
      </c>
      <c r="H17" s="8"/>
      <c r="I17" s="8"/>
      <c r="J17" s="8"/>
      <c r="K17" s="8"/>
    </row>
    <row r="18" spans="1:11" x14ac:dyDescent="0.25">
      <c r="H18" s="8"/>
      <c r="I18" s="8"/>
      <c r="J18" s="8"/>
      <c r="K18" s="8"/>
    </row>
    <row r="19" spans="1:11" x14ac:dyDescent="0.25">
      <c r="H19" s="32"/>
      <c r="I19" s="32"/>
    </row>
    <row r="20" spans="1:11" x14ac:dyDescent="0.25">
      <c r="H20" s="32"/>
      <c r="I20" s="32"/>
    </row>
    <row r="21" spans="1:11" x14ac:dyDescent="0.25">
      <c r="H21" s="32"/>
      <c r="I21" s="32"/>
    </row>
    <row r="22" spans="1:11" x14ac:dyDescent="0.25">
      <c r="H22" s="32"/>
      <c r="I22" s="32"/>
    </row>
    <row r="23" spans="1:11" x14ac:dyDescent="0.25">
      <c r="H23" s="32"/>
      <c r="I23" s="32"/>
    </row>
    <row r="24" spans="1:11" x14ac:dyDescent="0.25">
      <c r="H24" s="32"/>
      <c r="I24" s="32"/>
    </row>
    <row r="25" spans="1:11" x14ac:dyDescent="0.25">
      <c r="H25" s="32"/>
      <c r="I25" s="32"/>
    </row>
    <row r="26" spans="1:11" x14ac:dyDescent="0.25">
      <c r="H26" s="32"/>
      <c r="I26" s="32"/>
    </row>
    <row r="27" spans="1:11" x14ac:dyDescent="0.25">
      <c r="H27" s="32"/>
      <c r="I27" s="32"/>
    </row>
    <row r="28" spans="1:11" x14ac:dyDescent="0.25">
      <c r="H28" s="32"/>
      <c r="I28" s="32"/>
    </row>
    <row r="29" spans="1:11" x14ac:dyDescent="0.25">
      <c r="H29" s="32"/>
      <c r="I29" s="32"/>
    </row>
    <row r="30" spans="1:11" x14ac:dyDescent="0.25">
      <c r="H30" s="32"/>
      <c r="I30" s="32"/>
    </row>
    <row r="31" spans="1:11" x14ac:dyDescent="0.25">
      <c r="H31" s="32"/>
      <c r="I31" s="32"/>
    </row>
    <row r="32" spans="1:11" x14ac:dyDescent="0.25">
      <c r="H32" s="32"/>
      <c r="I32" s="32"/>
    </row>
    <row r="33" s="32" customFormat="1" x14ac:dyDescent="0.25"/>
    <row r="34" s="32" customFormat="1" x14ac:dyDescent="0.25"/>
    <row r="35" s="32" customFormat="1" x14ac:dyDescent="0.25"/>
    <row r="36" s="32" customFormat="1" x14ac:dyDescent="0.25"/>
    <row r="37" s="32" customFormat="1" x14ac:dyDescent="0.25"/>
    <row r="38" s="32" customFormat="1" x14ac:dyDescent="0.25"/>
    <row r="39" s="32" customFormat="1" x14ac:dyDescent="0.25"/>
    <row r="40" s="32" customFormat="1" x14ac:dyDescent="0.25"/>
    <row r="41" s="32" customFormat="1" x14ac:dyDescent="0.25"/>
    <row r="42" s="32" customFormat="1" x14ac:dyDescent="0.25"/>
    <row r="43" s="32" customFormat="1" x14ac:dyDescent="0.25"/>
    <row r="44" s="32" customFormat="1" x14ac:dyDescent="0.25"/>
    <row r="45" s="32" customFormat="1" x14ac:dyDescent="0.25"/>
    <row r="46" s="32" customFormat="1" x14ac:dyDescent="0.25"/>
    <row r="47" s="32" customFormat="1" x14ac:dyDescent="0.25"/>
    <row r="48" s="32" customFormat="1" x14ac:dyDescent="0.25"/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mergeCells count="11">
    <mergeCell ref="H3:I3"/>
    <mergeCell ref="F4:K4"/>
    <mergeCell ref="H1:I1"/>
    <mergeCell ref="J3:K3"/>
    <mergeCell ref="B3:D3"/>
    <mergeCell ref="C1:D1"/>
    <mergeCell ref="C2:D2"/>
    <mergeCell ref="F3:G3"/>
    <mergeCell ref="A4:B4"/>
    <mergeCell ref="A1:B1"/>
    <mergeCell ref="A2:B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C6655E60-450E-43FA-9E7B-FB7C510DD65A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A4</xm:sqref>
        </x14:conditionalFormatting>
        <x14:conditionalFormatting xmlns:xm="http://schemas.microsoft.com/office/excel/2006/main">
          <x14:cfRule type="iconSet" priority="6" id="{99B02640-7508-491D-8F19-328C8981611E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C1</xm:sqref>
        </x14:conditionalFormatting>
        <x14:conditionalFormatting xmlns:xm="http://schemas.microsoft.com/office/excel/2006/main">
          <x14:cfRule type="iconSet" priority="5" id="{7604D76A-B52B-412A-B449-B46F65451A58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E1</xm:sqref>
        </x14:conditionalFormatting>
        <x14:conditionalFormatting xmlns:xm="http://schemas.microsoft.com/office/excel/2006/main">
          <x14:cfRule type="iconSet" priority="4" id="{A320CDA7-3384-40C5-BC53-0D20F2A4A606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J1</xm:sqref>
        </x14:conditionalFormatting>
        <x14:conditionalFormatting xmlns:xm="http://schemas.microsoft.com/office/excel/2006/main">
          <x14:cfRule type="iconSet" priority="3" id="{629F1DC0-465A-45F4-A7A0-28566B018EAB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H1</xm:sqref>
        </x14:conditionalFormatting>
        <x14:conditionalFormatting xmlns:xm="http://schemas.microsoft.com/office/excel/2006/main">
          <x14:cfRule type="iconSet" priority="1" id="{4FE44E6D-EB1C-4C1C-B168-A902BF7B8AFA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F1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5"/>
  <sheetViews>
    <sheetView workbookViewId="0">
      <selection activeCell="G11" sqref="G11"/>
    </sheetView>
  </sheetViews>
  <sheetFormatPr defaultColWidth="11" defaultRowHeight="15.75" x14ac:dyDescent="0.25"/>
  <cols>
    <col min="1" max="1" width="23.875" style="18" customWidth="1"/>
    <col min="2" max="2" width="34.5" style="18" customWidth="1"/>
    <col min="3" max="3" width="24.125" style="18" customWidth="1"/>
    <col min="4" max="4" width="11.5" style="18" customWidth="1"/>
    <col min="5" max="5" width="15" style="18" customWidth="1"/>
    <col min="6" max="6" width="12.125" style="19" customWidth="1"/>
    <col min="7" max="7" width="11.5" style="19" customWidth="1"/>
    <col min="8" max="8" width="12.5" style="20" customWidth="1"/>
    <col min="9" max="9" width="10.625" style="17" customWidth="1"/>
    <col min="10" max="10" width="11.125" style="17" customWidth="1"/>
    <col min="11" max="11" width="15.625" customWidth="1"/>
    <col min="12" max="12" width="13.875" style="17" customWidth="1"/>
    <col min="13" max="13" width="16.125" style="17" customWidth="1"/>
    <col min="14" max="14" width="19.125" style="44" customWidth="1"/>
    <col min="15" max="15" width="16.25" customWidth="1"/>
    <col min="16" max="16" width="1.875" style="40" hidden="1" customWidth="1"/>
  </cols>
  <sheetData>
    <row r="1" spans="1:16" s="10" customFormat="1" ht="83.25" customHeight="1" x14ac:dyDescent="0.25">
      <c r="A1" s="23" t="s">
        <v>25</v>
      </c>
      <c r="B1" s="23" t="s">
        <v>26</v>
      </c>
      <c r="C1" s="23" t="s">
        <v>8</v>
      </c>
      <c r="D1" s="24" t="s">
        <v>7</v>
      </c>
      <c r="E1" s="24" t="s">
        <v>51</v>
      </c>
      <c r="F1" s="24" t="s">
        <v>30</v>
      </c>
      <c r="G1" s="24" t="s">
        <v>27</v>
      </c>
      <c r="H1" s="25" t="s">
        <v>31</v>
      </c>
      <c r="I1" s="26" t="s">
        <v>28</v>
      </c>
      <c r="J1" s="26" t="s">
        <v>52</v>
      </c>
      <c r="K1" s="45" t="s">
        <v>53</v>
      </c>
      <c r="L1" s="26" t="s">
        <v>36</v>
      </c>
      <c r="M1" s="26" t="s">
        <v>49</v>
      </c>
      <c r="N1" s="41" t="s">
        <v>54</v>
      </c>
      <c r="P1" s="39"/>
    </row>
    <row r="2" spans="1:16" x14ac:dyDescent="0.25">
      <c r="A2" s="11" t="s">
        <v>65</v>
      </c>
      <c r="B2" s="11" t="s">
        <v>56</v>
      </c>
      <c r="C2" s="11" t="s">
        <v>4</v>
      </c>
      <c r="D2" s="28">
        <v>36</v>
      </c>
      <c r="E2" s="28">
        <v>36</v>
      </c>
      <c r="F2" s="29">
        <v>4</v>
      </c>
      <c r="G2" s="29">
        <v>45</v>
      </c>
      <c r="H2" s="30">
        <v>52.94</v>
      </c>
      <c r="I2" s="12">
        <f>HLOOKUP($C2,'Параметры ПФ'!$F$5:$K$10,6,FALSE)</f>
        <v>52.94</v>
      </c>
      <c r="J2" s="12">
        <f>IF(H2=0,I2*F2*E2,IF(I2&gt;H2,H2*F2*E2,I2*F2*E2))</f>
        <v>7623.36</v>
      </c>
      <c r="K2" s="13">
        <f>IF(J2&lt;'Параметры ПФ'!K$2+0.01,'Сходимость модели'!J2,ROUNDDOWN('Параметры ПФ'!K$2/IF(H2=0,I2,IF(I2&gt;H2,H2,I2)),0)*IF(H2=0,I2,IF(I2&gt;H2,H2,I2)))</f>
        <v>7623.36</v>
      </c>
      <c r="L2" s="12">
        <f t="shared" ref="L2:L22" si="0">K2*G2</f>
        <v>343051.2</v>
      </c>
      <c r="M2" s="60">
        <f>IF(J2&lt;'Параметры ПФ'!K$2+0.01,E2*F2*G2,ROUNDDOWN('Параметры ПФ'!K$2/IF(H2=0,I2,IF(I2&gt;H2,H2,I2)),0)*G2)</f>
        <v>6480</v>
      </c>
      <c r="N2" s="42">
        <f>IF(H2=0,I2*F2*E2,IF(I2&gt;H2,H2*F2*E2,I2*F2*E2))-K2</f>
        <v>0</v>
      </c>
      <c r="P2" s="40">
        <f>IF(N2=0,0,IF(N2&gt;'[1]Расчет нормативных затрат'!J$2/2,0,IF(N2&lt;'[1]Расчет нормативных затрат'!J$2/3,2,1)))</f>
        <v>0</v>
      </c>
    </row>
    <row r="3" spans="1:16" x14ac:dyDescent="0.25">
      <c r="A3" s="11" t="s">
        <v>65</v>
      </c>
      <c r="B3" s="11" t="s">
        <v>47</v>
      </c>
      <c r="C3" s="11" t="s">
        <v>4</v>
      </c>
      <c r="D3" s="28">
        <v>36</v>
      </c>
      <c r="E3" s="28">
        <v>36</v>
      </c>
      <c r="F3" s="29">
        <v>2</v>
      </c>
      <c r="G3" s="29">
        <v>90</v>
      </c>
      <c r="H3" s="30">
        <v>52.94</v>
      </c>
      <c r="I3" s="12">
        <f>HLOOKUP($C3,'Параметры ПФ'!$F$5:$K$10,6,FALSE)</f>
        <v>52.94</v>
      </c>
      <c r="J3" s="12">
        <f t="shared" ref="J3:J22" si="1">IF(H3=0,I3*F3*E3,IF(I3&gt;H3,H3*F3*E3,I3*F3*E3))</f>
        <v>3811.68</v>
      </c>
      <c r="K3" s="13">
        <f>IF(J3&lt;'Параметры ПФ'!K$2+0.01,'Сходимость модели'!J3,ROUNDDOWN('Параметры ПФ'!K$2/IF(H3=0,I3,IF(I3&gt;H3,H3,I3)),0)*IF(H3=0,I3,IF(I3&gt;H3,H3,I3)))</f>
        <v>3811.68</v>
      </c>
      <c r="L3" s="12">
        <f t="shared" si="0"/>
        <v>343051.2</v>
      </c>
      <c r="M3" s="60">
        <f>IF(J3&lt;'Параметры ПФ'!K$2+0.01,E3*F3*G3,ROUNDDOWN('Параметры ПФ'!K$2/IF(H3=0,I3,IF(I3&gt;H3,H3,I3)),0)*G3)</f>
        <v>6480</v>
      </c>
      <c r="N3" s="42">
        <f t="shared" ref="N3:N22" si="2">IF(H3=0,I3*F3*E3,IF(I3&gt;H3,H3*F3*E3,I3*F3*E3))-K3</f>
        <v>0</v>
      </c>
      <c r="P3" s="40">
        <f>IF(N3=0,0,IF(N3&gt;'[1]Расчет нормативных затрат'!J$2/2,0,IF(N3&lt;'[1]Расчет нормативных затрат'!J$2/3,2,1)))</f>
        <v>0</v>
      </c>
    </row>
    <row r="4" spans="1:16" x14ac:dyDescent="0.25">
      <c r="A4" s="11" t="s">
        <v>65</v>
      </c>
      <c r="B4" s="11" t="s">
        <v>57</v>
      </c>
      <c r="C4" s="11" t="s">
        <v>4</v>
      </c>
      <c r="D4" s="28">
        <v>36</v>
      </c>
      <c r="E4" s="28">
        <v>36</v>
      </c>
      <c r="F4" s="29">
        <v>4</v>
      </c>
      <c r="G4" s="29">
        <v>60</v>
      </c>
      <c r="H4" s="30">
        <v>52.94</v>
      </c>
      <c r="I4" s="12">
        <f>HLOOKUP($C4,'Параметры ПФ'!$F$5:$K$10,6,FALSE)</f>
        <v>52.94</v>
      </c>
      <c r="J4" s="12">
        <f t="shared" si="1"/>
        <v>7623.36</v>
      </c>
      <c r="K4" s="13">
        <f>IF(J4&lt;'Параметры ПФ'!K$2+0.01,'Сходимость модели'!J4,ROUNDDOWN('Параметры ПФ'!K$2/IF(H4=0,I4,IF(I4&gt;H4,H4,I4)),0)*IF(H4=0,I4,IF(I4&gt;H4,H4,I4)))</f>
        <v>7623.36</v>
      </c>
      <c r="L4" s="12">
        <f t="shared" si="0"/>
        <v>457401.59999999998</v>
      </c>
      <c r="M4" s="60">
        <f>IF(J4&lt;'Параметры ПФ'!K$2+0.01,E4*F4*G4,ROUNDDOWN('Параметры ПФ'!K$2/IF(H4=0,I4,IF(I4&gt;H4,H4,I4)),0)*G4)</f>
        <v>8640</v>
      </c>
      <c r="N4" s="42">
        <f t="shared" si="2"/>
        <v>0</v>
      </c>
      <c r="P4" s="40">
        <f>IF(N4=0,0,IF(N4&gt;'[1]Расчет нормативных затрат'!J$2/2,0,IF(N4&lt;'[1]Расчет нормативных затрат'!J$2/3,2,1)))</f>
        <v>0</v>
      </c>
    </row>
    <row r="5" spans="1:16" x14ac:dyDescent="0.25">
      <c r="A5" s="11" t="s">
        <v>65</v>
      </c>
      <c r="B5" s="11" t="s">
        <v>58</v>
      </c>
      <c r="C5" s="11" t="s">
        <v>4</v>
      </c>
      <c r="D5" s="28">
        <v>36</v>
      </c>
      <c r="E5" s="28">
        <v>36</v>
      </c>
      <c r="F5" s="29">
        <v>4</v>
      </c>
      <c r="G5" s="29">
        <v>45</v>
      </c>
      <c r="H5" s="30">
        <v>52.94</v>
      </c>
      <c r="I5" s="12">
        <f>HLOOKUP($C5,'Параметры ПФ'!$F$5:$K$10,6,FALSE)</f>
        <v>52.94</v>
      </c>
      <c r="J5" s="12">
        <f t="shared" si="1"/>
        <v>7623.36</v>
      </c>
      <c r="K5" s="13">
        <f>IF(J5&lt;'Параметры ПФ'!K$2+0.01,'Сходимость модели'!J5,ROUNDDOWN('Параметры ПФ'!K$2/IF(H5=0,I5,IF(I5&gt;H5,H5,I5)),0)*IF(H5=0,I5,IF(I5&gt;H5,H5,I5)))</f>
        <v>7623.36</v>
      </c>
      <c r="L5" s="12">
        <f t="shared" si="0"/>
        <v>343051.2</v>
      </c>
      <c r="M5" s="60">
        <f>IF(J5&lt;'Параметры ПФ'!K$2+0.01,E5*F5*G5,ROUNDDOWN('Параметры ПФ'!K$2/IF(H5=0,I5,IF(I5&gt;H5,H5,I5)),0)*G5)</f>
        <v>6480</v>
      </c>
      <c r="N5" s="42">
        <f t="shared" si="2"/>
        <v>0</v>
      </c>
      <c r="P5" s="40">
        <f>IF(N5=0,0,IF(N5&gt;'[1]Расчет нормативных затрат'!J$2/2,0,IF(N5&lt;'[1]Расчет нормативных затрат'!J$2/3,2,1)))</f>
        <v>0</v>
      </c>
    </row>
    <row r="6" spans="1:16" x14ac:dyDescent="0.25">
      <c r="A6" s="11" t="s">
        <v>65</v>
      </c>
      <c r="B6" s="11" t="s">
        <v>59</v>
      </c>
      <c r="C6" s="11" t="s">
        <v>4</v>
      </c>
      <c r="D6" s="28">
        <v>36</v>
      </c>
      <c r="E6" s="28">
        <v>36</v>
      </c>
      <c r="F6" s="29">
        <v>4</v>
      </c>
      <c r="G6" s="29">
        <v>60</v>
      </c>
      <c r="H6" s="30">
        <v>52.94</v>
      </c>
      <c r="I6" s="12">
        <f>HLOOKUP($C6,'Параметры ПФ'!$F$5:$K$10,6,FALSE)</f>
        <v>52.94</v>
      </c>
      <c r="J6" s="12">
        <f t="shared" si="1"/>
        <v>7623.36</v>
      </c>
      <c r="K6" s="13">
        <f>IF(J6&lt;'Параметры ПФ'!K$2+0.01,'Сходимость модели'!J6,ROUNDDOWN('Параметры ПФ'!K$2/IF(H6=0,I6,IF(I6&gt;H6,H6,I6)),0)*IF(H6=0,I6,IF(I6&gt;H6,H6,I6)))</f>
        <v>7623.36</v>
      </c>
      <c r="L6" s="12">
        <f t="shared" si="0"/>
        <v>457401.59999999998</v>
      </c>
      <c r="M6" s="60">
        <f>IF(J6&lt;'Параметры ПФ'!K$2+0.01,E6*F6*G6,ROUNDDOWN('Параметры ПФ'!K$2/IF(H6=0,I6,IF(I6&gt;H6,H6,I6)),0)*G6)</f>
        <v>8640</v>
      </c>
      <c r="N6" s="42">
        <f t="shared" si="2"/>
        <v>0</v>
      </c>
      <c r="P6" s="40">
        <f>IF(N6=0,0,IF(N6&gt;'[1]Расчет нормативных затрат'!J$2/2,0,IF(N6&lt;'[1]Расчет нормативных затрат'!J$2/3,2,1)))</f>
        <v>0</v>
      </c>
    </row>
    <row r="7" spans="1:16" x14ac:dyDescent="0.25">
      <c r="A7" s="11" t="s">
        <v>65</v>
      </c>
      <c r="B7" s="11" t="s">
        <v>60</v>
      </c>
      <c r="C7" s="11" t="s">
        <v>4</v>
      </c>
      <c r="D7" s="28">
        <v>36</v>
      </c>
      <c r="E7" s="28">
        <v>36</v>
      </c>
      <c r="F7" s="29">
        <v>4</v>
      </c>
      <c r="G7" s="29">
        <v>45</v>
      </c>
      <c r="H7" s="30">
        <v>52.94</v>
      </c>
      <c r="I7" s="12">
        <f>HLOOKUP($C7,'Параметры ПФ'!$F$5:$K$10,6,FALSE)</f>
        <v>52.94</v>
      </c>
      <c r="J7" s="12">
        <f t="shared" si="1"/>
        <v>7623.36</v>
      </c>
      <c r="K7" s="13">
        <f>IF(J7&lt;'Параметры ПФ'!K$2+0.01,'Сходимость модели'!J7,ROUNDDOWN('Параметры ПФ'!K$2/IF(H7=0,I7,IF(I7&gt;H7,H7,I7)),0)*IF(H7=0,I7,IF(I7&gt;H7,H7,I7)))</f>
        <v>7623.36</v>
      </c>
      <c r="L7" s="12">
        <f t="shared" si="0"/>
        <v>343051.2</v>
      </c>
      <c r="M7" s="60">
        <f>IF(J7&lt;'Параметры ПФ'!K$2+0.01,E7*F7*G7,ROUNDDOWN('Параметры ПФ'!K$2/IF(H7=0,I7,IF(I7&gt;H7,H7,I7)),0)*G7)</f>
        <v>6480</v>
      </c>
      <c r="N7" s="42">
        <f t="shared" si="2"/>
        <v>0</v>
      </c>
      <c r="P7" s="40">
        <f>IF(N7=0,0,IF(N7&gt;'[1]Расчет нормативных затрат'!J$2/2,0,IF(N7&lt;'[1]Расчет нормативных затрат'!J$2/3,2,1)))</f>
        <v>0</v>
      </c>
    </row>
    <row r="8" spans="1:16" x14ac:dyDescent="0.25">
      <c r="A8" s="11" t="s">
        <v>65</v>
      </c>
      <c r="B8" s="11" t="s">
        <v>61</v>
      </c>
      <c r="C8" s="11" t="s">
        <v>6</v>
      </c>
      <c r="D8" s="28">
        <v>36</v>
      </c>
      <c r="E8" s="28">
        <v>36</v>
      </c>
      <c r="F8" s="29">
        <v>4</v>
      </c>
      <c r="G8" s="29">
        <v>90</v>
      </c>
      <c r="H8" s="30">
        <v>52.94</v>
      </c>
      <c r="I8" s="12">
        <f>HLOOKUP($C8,'Параметры ПФ'!$F$5:$K$10,6,FALSE)</f>
        <v>52.94</v>
      </c>
      <c r="J8" s="12">
        <f t="shared" si="1"/>
        <v>7623.36</v>
      </c>
      <c r="K8" s="13">
        <f>IF(J8&lt;'Параметры ПФ'!K$2+0.01,'Сходимость модели'!J8,ROUNDDOWN('Параметры ПФ'!K$2/IF(H8=0,I8,IF(I8&gt;H8,H8,I8)),0)*IF(H8=0,I8,IF(I8&gt;H8,H8,I8)))</f>
        <v>7623.36</v>
      </c>
      <c r="L8" s="12">
        <f t="shared" si="0"/>
        <v>686102.4</v>
      </c>
      <c r="M8" s="60">
        <f>IF(J8&lt;'Параметры ПФ'!K$2+0.01,E8*F8*G8,ROUNDDOWN('Параметры ПФ'!K$2/IF(H8=0,I8,IF(I8&gt;H8,H8,I8)),0)*G8)</f>
        <v>12960</v>
      </c>
      <c r="N8" s="42">
        <f t="shared" si="2"/>
        <v>0</v>
      </c>
      <c r="P8" s="40">
        <f>IF(N8=0,0,IF(N8&gt;'[1]Расчет нормативных затрат'!J$2/2,0,IF(N8&lt;'[1]Расчет нормативных затрат'!J$2/3,2,1)))</f>
        <v>0</v>
      </c>
    </row>
    <row r="9" spans="1:16" x14ac:dyDescent="0.25">
      <c r="A9" s="11" t="s">
        <v>65</v>
      </c>
      <c r="B9" s="11" t="s">
        <v>62</v>
      </c>
      <c r="C9" s="11" t="s">
        <v>44</v>
      </c>
      <c r="D9" s="28">
        <v>36</v>
      </c>
      <c r="E9" s="28">
        <v>36</v>
      </c>
      <c r="F9" s="29">
        <v>4</v>
      </c>
      <c r="G9" s="29">
        <v>45</v>
      </c>
      <c r="H9" s="30">
        <v>52.91</v>
      </c>
      <c r="I9" s="12">
        <f>HLOOKUP($C9,'Параметры ПФ'!$F$5:$K$10,6,FALSE)</f>
        <v>52.91</v>
      </c>
      <c r="J9" s="12">
        <f t="shared" si="1"/>
        <v>7619.04</v>
      </c>
      <c r="K9" s="13">
        <f>IF(J9&lt;'Параметры ПФ'!K$2+0.01,'Сходимость модели'!J9,ROUNDDOWN('Параметры ПФ'!K$2/IF(H9=0,I9,IF(I9&gt;H9,H9,I9)),0)*IF(H9=0,I9,IF(I9&gt;H9,H9,I9)))</f>
        <v>7619.04</v>
      </c>
      <c r="L9" s="12">
        <f t="shared" si="0"/>
        <v>342856.8</v>
      </c>
      <c r="M9" s="60">
        <f>IF(J9&lt;'Параметры ПФ'!K$2+0.01,E9*F9*G9,ROUNDDOWN('Параметры ПФ'!K$2/IF(H9=0,I9,IF(I9&gt;H9,H9,I9)),0)*G9)</f>
        <v>6480</v>
      </c>
      <c r="N9" s="42">
        <f t="shared" si="2"/>
        <v>0</v>
      </c>
      <c r="P9" s="40">
        <f>IF(N9=0,0,IF(N9&gt;'[1]Расчет нормативных затрат'!J$2/2,0,IF(N9&lt;'[1]Расчет нормативных затрат'!J$2/3,2,1)))</f>
        <v>0</v>
      </c>
    </row>
    <row r="10" spans="1:16" x14ac:dyDescent="0.25">
      <c r="A10" s="11" t="s">
        <v>63</v>
      </c>
      <c r="B10" s="11" t="s">
        <v>64</v>
      </c>
      <c r="C10" s="11" t="s">
        <v>6</v>
      </c>
      <c r="D10" s="28">
        <v>36</v>
      </c>
      <c r="E10" s="28">
        <v>36</v>
      </c>
      <c r="F10" s="29">
        <v>4</v>
      </c>
      <c r="G10" s="29">
        <v>251</v>
      </c>
      <c r="H10" s="30">
        <v>52.94</v>
      </c>
      <c r="I10" s="12">
        <f>HLOOKUP($C10,'Параметры ПФ'!$F$5:$K$10,6,FALSE)</f>
        <v>52.94</v>
      </c>
      <c r="J10" s="12">
        <f t="shared" si="1"/>
        <v>7623.36</v>
      </c>
      <c r="K10" s="13">
        <f>IF(J10&lt;'Параметры ПФ'!K$2+0.01,'Сходимость модели'!J10,ROUNDDOWN('Параметры ПФ'!K$2/IF(H10=0,I10,IF(I10&gt;H10,H10,I10)),0)*IF(H10=0,I10,IF(I10&gt;H10,H10,I10)))</f>
        <v>7623.36</v>
      </c>
      <c r="L10" s="12">
        <f t="shared" si="0"/>
        <v>1913463.36</v>
      </c>
      <c r="M10" s="60">
        <f>IF(J10&lt;'Параметры ПФ'!K$2+0.01,E10*F10*G10,ROUNDDOWN('Параметры ПФ'!K$2/IF(H10=0,I10,IF(I10&gt;H10,H10,I10)),0)*G10)</f>
        <v>36144</v>
      </c>
      <c r="N10" s="42">
        <f t="shared" si="2"/>
        <v>0</v>
      </c>
      <c r="P10" s="40">
        <f>IF(N10=0,0,IF(N10&gt;'[1]Расчет нормативных затрат'!J$2/2,0,IF(N10&lt;'[1]Расчет нормативных затрат'!J$2/3,2,1)))</f>
        <v>0</v>
      </c>
    </row>
    <row r="11" spans="1:16" x14ac:dyDescent="0.25">
      <c r="A11" s="11" t="s">
        <v>65</v>
      </c>
      <c r="B11" s="11" t="s">
        <v>66</v>
      </c>
      <c r="C11" s="11" t="s">
        <v>2</v>
      </c>
      <c r="D11" s="28">
        <v>36</v>
      </c>
      <c r="E11" s="28">
        <v>36</v>
      </c>
      <c r="F11" s="29">
        <v>2</v>
      </c>
      <c r="G11" s="29">
        <v>60</v>
      </c>
      <c r="H11" s="30">
        <v>52.98</v>
      </c>
      <c r="I11" s="12">
        <f>HLOOKUP($C11,'Параметры ПФ'!$F$5:$K$10,6,FALSE)</f>
        <v>52.98</v>
      </c>
      <c r="J11" s="12">
        <f t="shared" si="1"/>
        <v>3814.56</v>
      </c>
      <c r="K11" s="13">
        <f>IF(J11&lt;'Параметры ПФ'!K$2+0.01,'Сходимость модели'!J11,ROUNDDOWN('Параметры ПФ'!K$2/IF(H11=0,I11,IF(I11&gt;H11,H11,I11)),0)*IF(H11=0,I11,IF(I11&gt;H11,H11,I11)))</f>
        <v>3814.56</v>
      </c>
      <c r="L11" s="12">
        <f t="shared" si="0"/>
        <v>228873.60000000001</v>
      </c>
      <c r="M11" s="60">
        <f>IF(J11&lt;'Параметры ПФ'!K$2+0.01,E11*F11*G11,ROUNDDOWN('Параметры ПФ'!K$2/IF(H11=0,I11,IF(I11&gt;H11,H11,I11)),0)*G11)</f>
        <v>4320</v>
      </c>
      <c r="N11" s="42">
        <f t="shared" si="2"/>
        <v>0</v>
      </c>
      <c r="P11" s="40">
        <f>IF(N11=0,0,IF(N11&gt;'[1]Расчет нормативных затрат'!J$2/2,0,IF(N11&lt;'[1]Расчет нормативных затрат'!J$2/3,2,1)))</f>
        <v>0</v>
      </c>
    </row>
    <row r="12" spans="1:16" x14ac:dyDescent="0.25">
      <c r="A12" s="11" t="s">
        <v>1</v>
      </c>
      <c r="B12" s="11"/>
      <c r="C12" s="11" t="s">
        <v>6</v>
      </c>
      <c r="D12" s="28"/>
      <c r="E12" s="28"/>
      <c r="F12" s="29"/>
      <c r="G12" s="29"/>
      <c r="H12" s="30"/>
      <c r="I12" s="12"/>
      <c r="J12" s="12">
        <f t="shared" si="1"/>
        <v>0</v>
      </c>
      <c r="K12" s="13">
        <f>IF(J12&lt;'Параметры ПФ'!K$2+0.01,'Сходимость модели'!J12,ROUNDDOWN('Параметры ПФ'!K$2/IF(H12=0,I12,IF(I12&gt;H12,H12,I12)),0)*IF(H12=0,I12,IF(I12&gt;H12,H12,I12)))</f>
        <v>0</v>
      </c>
      <c r="L12" s="12">
        <f t="shared" si="0"/>
        <v>0</v>
      </c>
      <c r="M12" s="60">
        <f>IF(J12&lt;'Параметры ПФ'!K$2+0.01,E12*F12*G12,ROUNDDOWN('Параметры ПФ'!K$2/IF(H12=0,I12,IF(I12&gt;H12,H12,I12)),0)*G12)</f>
        <v>0</v>
      </c>
      <c r="N12" s="42">
        <f t="shared" si="2"/>
        <v>0</v>
      </c>
      <c r="P12" s="40">
        <f>IF(N12=0,0,IF(N12&gt;'[1]Расчет нормативных затрат'!J$2/2,0,IF(N12&lt;'[1]Расчет нормативных затрат'!J$2/3,2,1)))</f>
        <v>0</v>
      </c>
    </row>
    <row r="13" spans="1:16" x14ac:dyDescent="0.25">
      <c r="A13" s="11" t="s">
        <v>1</v>
      </c>
      <c r="B13" s="11"/>
      <c r="C13" s="11" t="s">
        <v>6</v>
      </c>
      <c r="D13" s="28"/>
      <c r="E13" s="28"/>
      <c r="F13" s="29"/>
      <c r="G13" s="29"/>
      <c r="H13" s="30"/>
      <c r="I13" s="12"/>
      <c r="J13" s="12">
        <f t="shared" si="1"/>
        <v>0</v>
      </c>
      <c r="K13" s="13">
        <f>IF(J13&lt;'Параметры ПФ'!K$2+0.01,'Сходимость модели'!J13,ROUNDDOWN('Параметры ПФ'!K$2/IF(H13=0,I13,IF(I13&gt;H13,H13,I13)),0)*IF(H13=0,I13,IF(I13&gt;H13,H13,I13)))</f>
        <v>0</v>
      </c>
      <c r="L13" s="12">
        <f t="shared" si="0"/>
        <v>0</v>
      </c>
      <c r="M13" s="60">
        <f>IF(J13&lt;'Параметры ПФ'!K$2+0.01,E13*F13*G13,ROUNDDOWN('Параметры ПФ'!K$2/IF(H13=0,I13,IF(I13&gt;H13,H13,I13)),0)*G13)</f>
        <v>0</v>
      </c>
      <c r="N13" s="42">
        <f t="shared" si="2"/>
        <v>0</v>
      </c>
      <c r="P13" s="40">
        <f>IF(N13=0,0,IF(N13&gt;'[1]Расчет нормативных затрат'!J$2/2,0,IF(N13&lt;'[1]Расчет нормативных затрат'!J$2/3,2,1)))</f>
        <v>0</v>
      </c>
    </row>
    <row r="14" spans="1:16" x14ac:dyDescent="0.25">
      <c r="A14" s="11" t="s">
        <v>1</v>
      </c>
      <c r="B14" s="11"/>
      <c r="C14" s="11" t="s">
        <v>6</v>
      </c>
      <c r="D14" s="28"/>
      <c r="E14" s="28"/>
      <c r="F14" s="29"/>
      <c r="G14" s="29"/>
      <c r="H14" s="30"/>
      <c r="I14" s="12"/>
      <c r="J14" s="12">
        <f t="shared" si="1"/>
        <v>0</v>
      </c>
      <c r="K14" s="13">
        <f>IF(J14&lt;'Параметры ПФ'!K$2+0.01,'Сходимость модели'!J14,ROUNDDOWN('Параметры ПФ'!K$2/IF(H14=0,I14,IF(I14&gt;H14,H14,I14)),0)*IF(H14=0,I14,IF(I14&gt;H14,H14,I14)))</f>
        <v>0</v>
      </c>
      <c r="L14" s="12">
        <f t="shared" si="0"/>
        <v>0</v>
      </c>
      <c r="M14" s="60">
        <f>IF(J14&lt;'Параметры ПФ'!K$2+0.01,E14*F14*G14,ROUNDDOWN('Параметры ПФ'!K$2/IF(H14=0,I14,IF(I14&gt;H14,H14,I14)),0)*G14)</f>
        <v>0</v>
      </c>
      <c r="N14" s="42">
        <f t="shared" si="2"/>
        <v>0</v>
      </c>
      <c r="P14" s="40">
        <f>IF(N14=0,0,IF(N14&gt;'[1]Расчет нормативных затрат'!J$2/2,0,IF(N14&lt;'[1]Расчет нормативных затрат'!J$2/3,2,1)))</f>
        <v>0</v>
      </c>
    </row>
    <row r="15" spans="1:16" x14ac:dyDescent="0.25">
      <c r="A15" s="11" t="s">
        <v>1</v>
      </c>
      <c r="B15" s="11"/>
      <c r="C15" s="11" t="s">
        <v>6</v>
      </c>
      <c r="D15" s="28"/>
      <c r="E15" s="28"/>
      <c r="F15" s="29"/>
      <c r="G15" s="29"/>
      <c r="H15" s="30"/>
      <c r="I15" s="12">
        <f>HLOOKUP($C15,'Параметры ПФ'!$F$5:$K$10,6,FALSE)</f>
        <v>52.94</v>
      </c>
      <c r="J15" s="12">
        <f t="shared" si="1"/>
        <v>0</v>
      </c>
      <c r="K15" s="13">
        <f>IF(J15&lt;'Параметры ПФ'!K$2+0.01,'Сходимость модели'!J15,ROUNDDOWN('Параметры ПФ'!K$2/IF(H15=0,I15,IF(I15&gt;H15,H15,I15)),0)*IF(H15=0,I15,IF(I15&gt;H15,H15,I15)))</f>
        <v>0</v>
      </c>
      <c r="L15" s="12">
        <f t="shared" si="0"/>
        <v>0</v>
      </c>
      <c r="M15" s="60">
        <f>IF(J15&lt;'Параметры ПФ'!K$2+0.01,E15*F15*G15,ROUNDDOWN('Параметры ПФ'!K$2/IF(H15=0,I15,IF(I15&gt;H15,H15,I15)),0)*G15)</f>
        <v>0</v>
      </c>
      <c r="N15" s="42">
        <f t="shared" si="2"/>
        <v>0</v>
      </c>
      <c r="P15" s="40">
        <f>IF(N15=0,0,IF(N15&gt;'[1]Расчет нормативных затрат'!J$2/2,0,IF(N15&lt;'[1]Расчет нормативных затрат'!J$2/3,2,1)))</f>
        <v>0</v>
      </c>
    </row>
    <row r="16" spans="1:16" x14ac:dyDescent="0.25">
      <c r="A16" s="11" t="s">
        <v>1</v>
      </c>
      <c r="B16" s="11"/>
      <c r="C16" s="11" t="s">
        <v>6</v>
      </c>
      <c r="D16" s="28"/>
      <c r="E16" s="28"/>
      <c r="F16" s="29"/>
      <c r="G16" s="29"/>
      <c r="H16" s="30"/>
      <c r="I16" s="12">
        <f>HLOOKUP($C16,'Параметры ПФ'!$F$5:$K$10,6,FALSE)</f>
        <v>52.94</v>
      </c>
      <c r="J16" s="12">
        <f t="shared" si="1"/>
        <v>0</v>
      </c>
      <c r="K16" s="13">
        <f>IF(J16&lt;'Параметры ПФ'!K$2+0.01,'Сходимость модели'!J16,ROUNDDOWN('Параметры ПФ'!K$2/IF(H16=0,I16,IF(I16&gt;H16,H16,I16)),0)*IF(H16=0,I16,IF(I16&gt;H16,H16,I16)))</f>
        <v>0</v>
      </c>
      <c r="L16" s="12">
        <f t="shared" si="0"/>
        <v>0</v>
      </c>
      <c r="M16" s="60">
        <f>IF(J16&lt;'Параметры ПФ'!K$2+0.01,E16*F16*G16,ROUNDDOWN('Параметры ПФ'!K$2/IF(H16=0,I16,IF(I16&gt;H16,H16,I16)),0)*G16)</f>
        <v>0</v>
      </c>
      <c r="N16" s="42">
        <f t="shared" si="2"/>
        <v>0</v>
      </c>
      <c r="P16" s="40">
        <f>IF(N16=0,0,IF(N16&gt;'[1]Расчет нормативных затрат'!J$2/2,0,IF(N16&lt;'[1]Расчет нормативных затрат'!J$2/3,2,1)))</f>
        <v>0</v>
      </c>
    </row>
    <row r="17" spans="1:16" x14ac:dyDescent="0.25">
      <c r="A17" s="11" t="s">
        <v>1</v>
      </c>
      <c r="B17" s="11"/>
      <c r="C17" s="11" t="s">
        <v>6</v>
      </c>
      <c r="D17" s="28"/>
      <c r="E17" s="28"/>
      <c r="F17" s="29"/>
      <c r="G17" s="29"/>
      <c r="H17" s="30"/>
      <c r="I17" s="12">
        <f>HLOOKUP($C17,'Параметры ПФ'!$F$5:$K$10,6,FALSE)</f>
        <v>52.94</v>
      </c>
      <c r="J17" s="12">
        <f t="shared" si="1"/>
        <v>0</v>
      </c>
      <c r="K17" s="13">
        <f>IF(J17&lt;'Параметры ПФ'!K$2+0.01,'Сходимость модели'!J17,ROUNDDOWN('Параметры ПФ'!K$2/IF(H17=0,I17,IF(I17&gt;H17,H17,I17)),0)*IF(H17=0,I17,IF(I17&gt;H17,H17,I17)))</f>
        <v>0</v>
      </c>
      <c r="L17" s="12">
        <f t="shared" si="0"/>
        <v>0</v>
      </c>
      <c r="M17" s="60">
        <f>IF(J17&lt;'Параметры ПФ'!K$2+0.01,E17*F17*G17,ROUNDDOWN('Параметры ПФ'!K$2/IF(H17=0,I17,IF(I17&gt;H17,H17,I17)),0)*G17)</f>
        <v>0</v>
      </c>
      <c r="N17" s="42">
        <f t="shared" si="2"/>
        <v>0</v>
      </c>
      <c r="P17" s="40">
        <f>IF(N17=0,0,IF(N17&gt;'[1]Расчет нормативных затрат'!J$2/2,0,IF(N17&lt;'[1]Расчет нормативных затрат'!J$2/3,2,1)))</f>
        <v>0</v>
      </c>
    </row>
    <row r="18" spans="1:16" x14ac:dyDescent="0.25">
      <c r="A18" s="11" t="s">
        <v>1</v>
      </c>
      <c r="B18" s="11"/>
      <c r="C18" s="11" t="s">
        <v>5</v>
      </c>
      <c r="D18" s="28"/>
      <c r="E18" s="28"/>
      <c r="F18" s="29"/>
      <c r="G18" s="29"/>
      <c r="H18" s="30"/>
      <c r="I18" s="12">
        <f>HLOOKUP($C18,'Параметры ПФ'!$F$5:$K$10,6,FALSE)</f>
        <v>52.94</v>
      </c>
      <c r="J18" s="12">
        <f t="shared" si="1"/>
        <v>0</v>
      </c>
      <c r="K18" s="13">
        <f>IF(J18&lt;'Параметры ПФ'!K$2+0.01,'Сходимость модели'!J18,ROUNDDOWN('Параметры ПФ'!K$2/IF(H18=0,I18,IF(I18&gt;H18,H18,I18)),0)*IF(H18=0,I18,IF(I18&gt;H18,H18,I18)))</f>
        <v>0</v>
      </c>
      <c r="L18" s="12">
        <f t="shared" si="0"/>
        <v>0</v>
      </c>
      <c r="M18" s="60">
        <f>IF(J18&lt;'Параметры ПФ'!K$2+0.01,E18*F18*G18,ROUNDDOWN('Параметры ПФ'!K$2/IF(H18=0,I18,IF(I18&gt;H18,H18,I18)),0)*G18)</f>
        <v>0</v>
      </c>
      <c r="N18" s="42">
        <f t="shared" si="2"/>
        <v>0</v>
      </c>
      <c r="P18" s="40">
        <f>IF(N18=0,0,IF(N18&gt;'[1]Расчет нормативных затрат'!J$2/2,0,IF(N18&lt;'[1]Расчет нормативных затрат'!J$2/3,2,1)))</f>
        <v>0</v>
      </c>
    </row>
    <row r="19" spans="1:16" x14ac:dyDescent="0.25">
      <c r="A19" s="11" t="s">
        <v>1</v>
      </c>
      <c r="B19" s="11"/>
      <c r="C19" s="11" t="s">
        <v>6</v>
      </c>
      <c r="D19" s="28"/>
      <c r="E19" s="28"/>
      <c r="F19" s="29"/>
      <c r="G19" s="29"/>
      <c r="H19" s="30"/>
      <c r="I19" s="12">
        <f>HLOOKUP($C19,'Параметры ПФ'!$F$5:$K$10,6,FALSE)</f>
        <v>52.94</v>
      </c>
      <c r="J19" s="12">
        <f t="shared" si="1"/>
        <v>0</v>
      </c>
      <c r="K19" s="13">
        <f>IF(J19&lt;'Параметры ПФ'!K$2+0.01,'Сходимость модели'!J19,ROUNDDOWN('Параметры ПФ'!K$2/IF(H19=0,I19,IF(I19&gt;H19,H19,I19)),0)*IF(H19=0,I19,IF(I19&gt;H19,H19,I19)))</f>
        <v>0</v>
      </c>
      <c r="L19" s="12">
        <f t="shared" si="0"/>
        <v>0</v>
      </c>
      <c r="M19" s="60">
        <f>IF(J19&lt;'Параметры ПФ'!K$2+0.01,E19*F19*G19,ROUNDDOWN('Параметры ПФ'!K$2/IF(H19=0,I19,IF(I19&gt;H19,H19,I19)),0)*G19)</f>
        <v>0</v>
      </c>
      <c r="N19" s="42">
        <f t="shared" si="2"/>
        <v>0</v>
      </c>
      <c r="P19" s="40">
        <f>IF(N19=0,0,IF(N19&gt;'[1]Расчет нормативных затрат'!J$2/2,0,IF(N19&lt;'[1]Расчет нормативных затрат'!J$2/3,2,1)))</f>
        <v>0</v>
      </c>
    </row>
    <row r="20" spans="1:16" x14ac:dyDescent="0.25">
      <c r="A20" s="11" t="s">
        <v>1</v>
      </c>
      <c r="B20" s="11"/>
      <c r="C20" s="11" t="s">
        <v>6</v>
      </c>
      <c r="D20" s="28"/>
      <c r="E20" s="28"/>
      <c r="F20" s="29"/>
      <c r="G20" s="29"/>
      <c r="H20" s="30"/>
      <c r="I20" s="12">
        <f>HLOOKUP($C20,'Параметры ПФ'!$F$5:$K$10,6,FALSE)</f>
        <v>52.94</v>
      </c>
      <c r="J20" s="12">
        <f t="shared" si="1"/>
        <v>0</v>
      </c>
      <c r="K20" s="13">
        <f>IF(J20&lt;'Параметры ПФ'!K$2+0.01,'Сходимость модели'!J20,ROUNDDOWN('Параметры ПФ'!K$2/IF(H20=0,I20,IF(I20&gt;H20,H20,I20)),0)*IF(H20=0,I20,IF(I20&gt;H20,H20,I20)))</f>
        <v>0</v>
      </c>
      <c r="L20" s="12">
        <f t="shared" si="0"/>
        <v>0</v>
      </c>
      <c r="M20" s="60">
        <f>IF(J20&lt;'Параметры ПФ'!K$2+0.01,E20*F20*G20,ROUNDDOWN('Параметры ПФ'!K$2/IF(H20=0,I20,IF(I20&gt;H20,H20,I20)),0)*G20)</f>
        <v>0</v>
      </c>
      <c r="N20" s="42">
        <f t="shared" si="2"/>
        <v>0</v>
      </c>
      <c r="P20" s="40">
        <f>IF(N20=0,0,IF(N20&gt;'[1]Расчет нормативных затрат'!J$2/2,0,IF(N20&lt;'[1]Расчет нормативных затрат'!J$2/3,2,1)))</f>
        <v>0</v>
      </c>
    </row>
    <row r="21" spans="1:16" x14ac:dyDescent="0.25">
      <c r="A21" s="11" t="s">
        <v>1</v>
      </c>
      <c r="B21" s="11"/>
      <c r="C21" s="11" t="s">
        <v>6</v>
      </c>
      <c r="D21" s="28"/>
      <c r="E21" s="28"/>
      <c r="F21" s="29"/>
      <c r="G21" s="29"/>
      <c r="H21" s="30"/>
      <c r="I21" s="12">
        <f>HLOOKUP($C21,'Параметры ПФ'!$F$5:$K$10,6,FALSE)</f>
        <v>52.94</v>
      </c>
      <c r="J21" s="12">
        <f t="shared" si="1"/>
        <v>0</v>
      </c>
      <c r="K21" s="13">
        <f>IF(J21&lt;'Параметры ПФ'!K$2+0.01,'Сходимость модели'!J21,ROUNDDOWN('Параметры ПФ'!K$2/IF(H21=0,I21,IF(I21&gt;H21,H21,I21)),0)*IF(H21=0,I21,IF(I21&gt;H21,H21,I21)))</f>
        <v>0</v>
      </c>
      <c r="L21" s="12">
        <f t="shared" si="0"/>
        <v>0</v>
      </c>
      <c r="M21" s="60">
        <f>IF(J21&lt;'Параметры ПФ'!K$2+0.01,E21*F21*G21,ROUNDDOWN('Параметры ПФ'!K$2/IF(H21=0,I21,IF(I21&gt;H21,H21,I21)),0)*G21)</f>
        <v>0</v>
      </c>
      <c r="N21" s="42">
        <f t="shared" si="2"/>
        <v>0</v>
      </c>
      <c r="P21" s="40">
        <f>IF(N21=0,0,IF(N21&gt;'[1]Расчет нормативных затрат'!J$2/2,0,IF(N21&lt;'[1]Расчет нормативных затрат'!J$2/3,2,1)))</f>
        <v>0</v>
      </c>
    </row>
    <row r="22" spans="1:16" x14ac:dyDescent="0.25">
      <c r="A22" s="11" t="s">
        <v>1</v>
      </c>
      <c r="B22" s="11"/>
      <c r="C22" s="11" t="s">
        <v>6</v>
      </c>
      <c r="D22" s="28"/>
      <c r="E22" s="28"/>
      <c r="F22" s="29"/>
      <c r="G22" s="29"/>
      <c r="H22" s="30"/>
      <c r="I22" s="12">
        <f>HLOOKUP($C22,'Параметры ПФ'!$F$5:$K$10,6,FALSE)</f>
        <v>52.94</v>
      </c>
      <c r="J22" s="12">
        <f t="shared" si="1"/>
        <v>0</v>
      </c>
      <c r="K22" s="13">
        <f>IF(J22&lt;'Параметры ПФ'!K$2+0.01,'Сходимость модели'!J22,ROUNDDOWN('Параметры ПФ'!K$2/IF(H22=0,I22,IF(I22&gt;H22,H22,I22)),0)*IF(H22=0,I22,IF(I22&gt;H22,H22,I22)))</f>
        <v>0</v>
      </c>
      <c r="L22" s="12">
        <f t="shared" si="0"/>
        <v>0</v>
      </c>
      <c r="M22" s="60">
        <f>IF(J22&lt;'Параметры ПФ'!K$2+0.01,E22*F22*G22,ROUNDDOWN('Параметры ПФ'!K$2/IF(H22=0,I22,IF(I22&gt;H22,H22,I22)),0)*G22)</f>
        <v>0</v>
      </c>
      <c r="N22" s="42">
        <f t="shared" si="2"/>
        <v>0</v>
      </c>
      <c r="P22" s="40">
        <f>IF(N22=0,0,IF(N22&gt;'[1]Расчет нормативных затрат'!J$2/2,0,IF(N22&lt;'[1]Расчет нормативных затрат'!J$2/3,2,1)))</f>
        <v>0</v>
      </c>
    </row>
    <row r="23" spans="1:16" x14ac:dyDescent="0.25">
      <c r="A23" s="76"/>
      <c r="B23" s="76"/>
      <c r="C23" s="76"/>
      <c r="D23" s="76"/>
      <c r="E23" s="76"/>
      <c r="F23" s="76"/>
      <c r="G23" s="14">
        <f>SUM(G2:G22)</f>
        <v>791</v>
      </c>
      <c r="H23" s="15" t="s">
        <v>29</v>
      </c>
      <c r="I23" s="16" t="s">
        <v>29</v>
      </c>
      <c r="J23" s="15" t="s">
        <v>29</v>
      </c>
      <c r="K23" s="16" t="s">
        <v>29</v>
      </c>
      <c r="L23" s="61">
        <f>SUM(L2:L22)</f>
        <v>5458304.1600000001</v>
      </c>
      <c r="M23" s="62">
        <f>SUM(M2:M22)</f>
        <v>103104</v>
      </c>
      <c r="N23" s="43" t="s">
        <v>29</v>
      </c>
    </row>
    <row r="24" spans="1:16" x14ac:dyDescent="0.25">
      <c r="G24" s="27"/>
      <c r="I24" s="77" t="s">
        <v>45</v>
      </c>
      <c r="J24" s="77"/>
      <c r="K24" s="77"/>
      <c r="L24" s="38">
        <f>'Параметры ПФ'!L2-L23</f>
        <v>119225.84</v>
      </c>
      <c r="M24" s="38"/>
    </row>
    <row r="25" spans="1:16" x14ac:dyDescent="0.25">
      <c r="J25" s="78" t="s">
        <v>46</v>
      </c>
      <c r="K25" s="78"/>
      <c r="L25" s="33">
        <f>L24/'Параметры ПФ'!L2</f>
        <v>0.02</v>
      </c>
      <c r="M25" s="33"/>
    </row>
  </sheetData>
  <autoFilter ref="A1:N25" xr:uid="{4700714E-8CDC-4B89-95B4-000F4EBFD0A8}"/>
  <mergeCells count="3">
    <mergeCell ref="A23:F23"/>
    <mergeCell ref="I24:K24"/>
    <mergeCell ref="J25:K2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2" fitToHeight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greaterThan" id="{7F9B028B-6BC4-484A-915D-E8B2B5908506}">
            <xm:f>'Параметры ПФ'!$K$2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N2:N22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Title="Ошибка" error="Направленность не из списка!" promptTitle="Направленность" prompt="Выберите направленность из списка" xr:uid="{3C2E4F13-3FD4-47A1-93A5-06DF36608062}">
          <x14:formula1>
            <xm:f>'F:\Users\alexkostin\Library\Containers\com.microsoft.Excel\Data\Documents\F:\Навигаторы\РЕГИОНЫ\Москва\[19. Сходимость модели ПФ ДОД МО.xlsx]Справочники'!#REF!</xm:f>
          </x14:formula1>
          <xm:sqref>C24:E1048576</xm:sqref>
        </x14:dataValidation>
        <x14:dataValidation type="list" showInputMessage="1" showErrorMessage="1" xr:uid="{00000000-0002-0000-0100-000000000000}">
          <x14:formula1>
            <xm:f>'Параметры ПФ'!$F$5:$K$5</xm:f>
          </x14:formula1>
          <xm:sqref>C2:C22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Параметры ПФ</vt:lpstr>
      <vt:lpstr>Сходимость модели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ddt</cp:lastModifiedBy>
  <dcterms:created xsi:type="dcterms:W3CDTF">2019-03-03T02:50:35Z</dcterms:created>
  <dcterms:modified xsi:type="dcterms:W3CDTF">2020-12-28T08:43:56Z</dcterms:modified>
  <cp:category/>
</cp:coreProperties>
</file>